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Users\Vitor\Downloads\ATO-CORR\"/>
    </mc:Choice>
  </mc:AlternateContent>
  <xr:revisionPtr revIDLastSave="0" documentId="13_ncr:1_{E8E2E17B-DC27-47D6-A87C-8D688420CDD8}" xr6:coauthVersionLast="47" xr6:coauthVersionMax="47" xr10:uidLastSave="{00000000-0000-0000-0000-000000000000}"/>
  <bookViews>
    <workbookView xWindow="-120" yWindow="-120" windowWidth="29040" windowHeight="15990" activeTab="3" xr2:uid="{22482156-E5FC-4786-BC67-166E08D42DBA}"/>
  </bookViews>
  <sheets>
    <sheet name="CAPA" sheetId="16" r:id="rId1"/>
    <sheet name="COMPOSIÇÃO DE CUSTOS - LOTE 3_" sheetId="19" state="hidden" r:id="rId2"/>
    <sheet name="COMPOSIÇÃO DE CUSTOS - LOTE 5" sheetId="31" r:id="rId3"/>
    <sheet name="CRON LOTE 5" sheetId="32" r:id="rId4"/>
    <sheet name="DESPESAS DIVERSAS II" sheetId="29" r:id="rId5"/>
    <sheet name="CRON LOTE 3_" sheetId="22" state="hidden" r:id="rId6"/>
    <sheet name="EQUIPE PERMANENTE" sheetId="27" r:id="rId7"/>
    <sheet name="ENCARGOS COMPLEMENTARES" sheetId="35" r:id="rId8"/>
    <sheet name="ENCARGOS SOCIAIS" sheetId="2" r:id="rId9"/>
    <sheet name="DESPESAS DIVERSAS I" sheetId="28" r:id="rId10"/>
    <sheet name="DESPESAS DIVERSAS I (2)" sheetId="33" state="hidden" r:id="rId11"/>
    <sheet name="SERVIÇOS TÉCNICOS" sheetId="30" r:id="rId12"/>
    <sheet name="FATOR K" sheetId="12" r:id="rId13"/>
    <sheet name="REFERÊNCIAS" sheetId="21" r:id="rId14"/>
  </sheets>
  <externalReferences>
    <externalReference r:id="rId15"/>
  </externalReferences>
  <definedNames>
    <definedName name="_xlnm.Print_Area" localSheetId="5">'CRON LOTE 3_'!$A$1:$J$52</definedName>
    <definedName name="_xlnm.Print_Area" localSheetId="3">'CRON LOTE 5'!$A$1:$J$53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5" i="32" l="1"/>
  <c r="H35" i="32"/>
  <c r="G35" i="32"/>
  <c r="F35" i="32"/>
  <c r="E35" i="32"/>
  <c r="D35" i="32"/>
  <c r="C35" i="32"/>
  <c r="J12" i="32"/>
  <c r="I12" i="32"/>
  <c r="H12" i="32"/>
  <c r="G12" i="32"/>
  <c r="F12" i="32"/>
  <c r="C36" i="29"/>
  <c r="F36" i="29"/>
  <c r="C27" i="29"/>
  <c r="F19" i="29"/>
  <c r="C19" i="29"/>
  <c r="I10" i="29"/>
  <c r="F10" i="29"/>
  <c r="C10" i="29"/>
  <c r="H8" i="30"/>
  <c r="H7" i="30"/>
  <c r="H6" i="30"/>
  <c r="F37" i="31" l="1"/>
  <c r="I37" i="31" s="1"/>
  <c r="F19" i="31" l="1"/>
  <c r="C18" i="32"/>
  <c r="D18" i="32"/>
  <c r="E18" i="32"/>
  <c r="F38" i="31" l="1"/>
  <c r="F36" i="31"/>
  <c r="F22" i="31"/>
  <c r="F21" i="31"/>
  <c r="I193" i="35"/>
  <c r="I177" i="35"/>
  <c r="I151" i="35"/>
  <c r="I140" i="35"/>
  <c r="I122" i="35"/>
  <c r="I100" i="35"/>
  <c r="I86" i="35"/>
  <c r="I72" i="35"/>
  <c r="I62" i="35"/>
  <c r="I50" i="35"/>
  <c r="I40" i="35"/>
  <c r="F40" i="31"/>
  <c r="F39" i="31"/>
  <c r="S47" i="27"/>
  <c r="R47" i="27" s="1"/>
  <c r="Q47" i="27"/>
  <c r="P47" i="27" s="1"/>
  <c r="O47" i="27"/>
  <c r="N47" i="27" s="1"/>
  <c r="M47" i="27"/>
  <c r="L47" i="27" s="1"/>
  <c r="K47" i="27"/>
  <c r="J47" i="27" s="1"/>
  <c r="I47" i="27"/>
  <c r="H47" i="27"/>
  <c r="G47" i="27"/>
  <c r="F47" i="27" s="1"/>
  <c r="E47" i="27"/>
  <c r="D47" i="27" s="1"/>
  <c r="S46" i="27"/>
  <c r="R46" i="27" s="1"/>
  <c r="Q46" i="27"/>
  <c r="P46" i="27" s="1"/>
  <c r="O46" i="27"/>
  <c r="N46" i="27" s="1"/>
  <c r="M46" i="27"/>
  <c r="L46" i="27" s="1"/>
  <c r="K46" i="27"/>
  <c r="J46" i="27" s="1"/>
  <c r="I46" i="27"/>
  <c r="H46" i="27" s="1"/>
  <c r="G46" i="27"/>
  <c r="F46" i="27" s="1"/>
  <c r="E46" i="27"/>
  <c r="D46" i="27" s="1"/>
  <c r="S45" i="27"/>
  <c r="R45" i="27" s="1"/>
  <c r="Q45" i="27"/>
  <c r="P45" i="27" s="1"/>
  <c r="N45" i="27"/>
  <c r="M45" i="27"/>
  <c r="L45" i="27" s="1"/>
  <c r="J45" i="27"/>
  <c r="H45" i="27"/>
  <c r="F45" i="27"/>
  <c r="E45" i="27"/>
  <c r="D45" i="27" s="1"/>
  <c r="S44" i="27"/>
  <c r="R44" i="27"/>
  <c r="Q44" i="27"/>
  <c r="P44" i="27" s="1"/>
  <c r="N44" i="27"/>
  <c r="M44" i="27"/>
  <c r="L44" i="27" s="1"/>
  <c r="K44" i="27"/>
  <c r="J44" i="27" s="1"/>
  <c r="I44" i="27"/>
  <c r="H44" i="27" s="1"/>
  <c r="G44" i="27"/>
  <c r="F44" i="27" s="1"/>
  <c r="E44" i="27"/>
  <c r="D44" i="27" s="1"/>
  <c r="S43" i="27"/>
  <c r="R43" i="27" s="1"/>
  <c r="Q43" i="27"/>
  <c r="P43" i="27" s="1"/>
  <c r="O43" i="27"/>
  <c r="N43" i="27" s="1"/>
  <c r="M43" i="27"/>
  <c r="L43" i="27" s="1"/>
  <c r="J43" i="27"/>
  <c r="H43" i="27"/>
  <c r="F43" i="27"/>
  <c r="D43" i="27"/>
  <c r="S42" i="27"/>
  <c r="R42" i="27" s="1"/>
  <c r="Q42" i="27"/>
  <c r="P42" i="27" s="1"/>
  <c r="O42" i="27"/>
  <c r="N42" i="27" s="1"/>
  <c r="M42" i="27"/>
  <c r="L42" i="27" s="1"/>
  <c r="J42" i="27"/>
  <c r="H42" i="27"/>
  <c r="F42" i="27"/>
  <c r="D42" i="27"/>
  <c r="F190" i="35"/>
  <c r="H190" i="35" s="1"/>
  <c r="I190" i="35" s="1"/>
  <c r="F186" i="35"/>
  <c r="H186" i="35" s="1"/>
  <c r="I186" i="35" s="1"/>
  <c r="F182" i="35"/>
  <c r="H182" i="35" s="1"/>
  <c r="I182" i="35" s="1"/>
  <c r="F175" i="35"/>
  <c r="H175" i="35" s="1"/>
  <c r="I175" i="35" s="1"/>
  <c r="F174" i="35"/>
  <c r="H174" i="35" s="1"/>
  <c r="I174" i="35" s="1"/>
  <c r="F173" i="35"/>
  <c r="H173" i="35" s="1"/>
  <c r="I173" i="35" s="1"/>
  <c r="F171" i="35"/>
  <c r="H171" i="35" s="1"/>
  <c r="I171" i="35" s="1"/>
  <c r="F170" i="35"/>
  <c r="H170" i="35" s="1"/>
  <c r="I170" i="35" s="1"/>
  <c r="F169" i="35"/>
  <c r="H169" i="35" s="1"/>
  <c r="I169" i="35" s="1"/>
  <c r="F167" i="35"/>
  <c r="H167" i="35" s="1"/>
  <c r="I167" i="35" s="1"/>
  <c r="F166" i="35"/>
  <c r="H166" i="35" s="1"/>
  <c r="I166" i="35" s="1"/>
  <c r="F165" i="35"/>
  <c r="H165" i="35" s="1"/>
  <c r="I165" i="35" s="1"/>
  <c r="F163" i="35"/>
  <c r="H163" i="35" s="1"/>
  <c r="I163" i="35" s="1"/>
  <c r="F162" i="35"/>
  <c r="H162" i="35" s="1"/>
  <c r="I162" i="35" s="1"/>
  <c r="F161" i="35"/>
  <c r="H161" i="35" s="1"/>
  <c r="I161" i="35" s="1"/>
  <c r="F159" i="35"/>
  <c r="H159" i="35" s="1"/>
  <c r="I159" i="35" s="1"/>
  <c r="F158" i="35"/>
  <c r="H158" i="35" s="1"/>
  <c r="I158" i="35" s="1"/>
  <c r="F157" i="35"/>
  <c r="H157" i="35" s="1"/>
  <c r="I157" i="35" s="1"/>
  <c r="F155" i="35"/>
  <c r="H155" i="35" s="1"/>
  <c r="F148" i="35"/>
  <c r="H148" i="35" s="1"/>
  <c r="I148" i="35" s="1"/>
  <c r="F144" i="35"/>
  <c r="H144" i="35" s="1"/>
  <c r="F136" i="35"/>
  <c r="H136" i="35" s="1"/>
  <c r="I136" i="35" s="1"/>
  <c r="F132" i="35"/>
  <c r="H132" i="35" s="1"/>
  <c r="I132" i="35" s="1"/>
  <c r="F128" i="35"/>
  <c r="H128" i="35" s="1"/>
  <c r="I128" i="35" s="1"/>
  <c r="H121" i="35"/>
  <c r="I121" i="35" s="1"/>
  <c r="H120" i="35"/>
  <c r="I120" i="35" s="1"/>
  <c r="H119" i="35"/>
  <c r="H122" i="35" s="1"/>
  <c r="I112" i="35"/>
  <c r="F189" i="35" s="1"/>
  <c r="H189" i="35" s="1"/>
  <c r="I189" i="35" s="1"/>
  <c r="H99" i="35"/>
  <c r="H98" i="35"/>
  <c r="H97" i="35"/>
  <c r="H96" i="35"/>
  <c r="H95" i="35"/>
  <c r="H94" i="35"/>
  <c r="H93" i="35"/>
  <c r="H92" i="35"/>
  <c r="H91" i="35"/>
  <c r="H100" i="35" s="1"/>
  <c r="I90" i="35"/>
  <c r="H90" i="35"/>
  <c r="H85" i="35"/>
  <c r="H84" i="35"/>
  <c r="H83" i="35"/>
  <c r="H82" i="35"/>
  <c r="H81" i="35"/>
  <c r="H80" i="35"/>
  <c r="H79" i="35"/>
  <c r="H78" i="35"/>
  <c r="H77" i="35"/>
  <c r="I76" i="35"/>
  <c r="H76" i="35"/>
  <c r="H86" i="35" s="1"/>
  <c r="H71" i="35"/>
  <c r="H70" i="35"/>
  <c r="H69" i="35"/>
  <c r="H68" i="35"/>
  <c r="H67" i="35"/>
  <c r="H66" i="35"/>
  <c r="H72" i="35" s="1"/>
  <c r="H61" i="35"/>
  <c r="H60" i="35"/>
  <c r="H59" i="35"/>
  <c r="H58" i="35"/>
  <c r="H57" i="35"/>
  <c r="H56" i="35"/>
  <c r="H55" i="35"/>
  <c r="H54" i="35"/>
  <c r="H62" i="35" s="1"/>
  <c r="H49" i="35"/>
  <c r="H48" i="35"/>
  <c r="H47" i="35"/>
  <c r="H46" i="35"/>
  <c r="H45" i="35"/>
  <c r="H44" i="35"/>
  <c r="H50" i="35" s="1"/>
  <c r="H39" i="35"/>
  <c r="H38" i="35"/>
  <c r="H37" i="35"/>
  <c r="H40" i="35" s="1"/>
  <c r="H36" i="35"/>
  <c r="I31" i="35"/>
  <c r="I144" i="35" l="1"/>
  <c r="I155" i="35"/>
  <c r="I119" i="35"/>
  <c r="F147" i="35"/>
  <c r="H147" i="35" s="1"/>
  <c r="I147" i="35" s="1"/>
  <c r="F129" i="35"/>
  <c r="H129" i="35" s="1"/>
  <c r="I129" i="35" s="1"/>
  <c r="F133" i="35"/>
  <c r="H133" i="35" s="1"/>
  <c r="I133" i="35" s="1"/>
  <c r="F137" i="35"/>
  <c r="H137" i="35" s="1"/>
  <c r="I137" i="35" s="1"/>
  <c r="F183" i="35"/>
  <c r="H183" i="35" s="1"/>
  <c r="I183" i="35" s="1"/>
  <c r="F187" i="35"/>
  <c r="H187" i="35" s="1"/>
  <c r="I187" i="35" s="1"/>
  <c r="F191" i="35"/>
  <c r="H191" i="35" s="1"/>
  <c r="I191" i="35" s="1"/>
  <c r="F156" i="35"/>
  <c r="H156" i="35" s="1"/>
  <c r="I156" i="35" s="1"/>
  <c r="F160" i="35"/>
  <c r="H160" i="35" s="1"/>
  <c r="I160" i="35" s="1"/>
  <c r="F164" i="35"/>
  <c r="H164" i="35" s="1"/>
  <c r="I164" i="35" s="1"/>
  <c r="F168" i="35"/>
  <c r="H168" i="35" s="1"/>
  <c r="I168" i="35" s="1"/>
  <c r="F172" i="35"/>
  <c r="H172" i="35" s="1"/>
  <c r="I172" i="35" s="1"/>
  <c r="F176" i="35"/>
  <c r="H176" i="35" s="1"/>
  <c r="I176" i="35" s="1"/>
  <c r="F145" i="35"/>
  <c r="H145" i="35" s="1"/>
  <c r="I145" i="35" s="1"/>
  <c r="F149" i="35"/>
  <c r="H149" i="35" s="1"/>
  <c r="I149" i="35" s="1"/>
  <c r="F126" i="35"/>
  <c r="H126" i="35" s="1"/>
  <c r="F130" i="35"/>
  <c r="H130" i="35" s="1"/>
  <c r="I130" i="35" s="1"/>
  <c r="F134" i="35"/>
  <c r="H134" i="35" s="1"/>
  <c r="I134" i="35" s="1"/>
  <c r="F138" i="35"/>
  <c r="H138" i="35" s="1"/>
  <c r="I138" i="35" s="1"/>
  <c r="F184" i="35"/>
  <c r="H184" i="35" s="1"/>
  <c r="I184" i="35" s="1"/>
  <c r="F188" i="35"/>
  <c r="H188" i="35" s="1"/>
  <c r="I188" i="35" s="1"/>
  <c r="F192" i="35"/>
  <c r="H192" i="35" s="1"/>
  <c r="I192" i="35" s="1"/>
  <c r="F146" i="35"/>
  <c r="H146" i="35" s="1"/>
  <c r="I146" i="35" s="1"/>
  <c r="F150" i="35"/>
  <c r="H150" i="35" s="1"/>
  <c r="I150" i="35" s="1"/>
  <c r="F127" i="35"/>
  <c r="H127" i="35" s="1"/>
  <c r="I127" i="35" s="1"/>
  <c r="F131" i="35"/>
  <c r="H131" i="35" s="1"/>
  <c r="I131" i="35" s="1"/>
  <c r="F135" i="35"/>
  <c r="H135" i="35" s="1"/>
  <c r="I135" i="35" s="1"/>
  <c r="F139" i="35"/>
  <c r="H139" i="35" s="1"/>
  <c r="I139" i="35" s="1"/>
  <c r="F181" i="35"/>
  <c r="H181" i="35" s="1"/>
  <c r="F185" i="35"/>
  <c r="H185" i="35" s="1"/>
  <c r="I185" i="35" s="1"/>
  <c r="I126" i="35" l="1"/>
  <c r="H140" i="35"/>
  <c r="H193" i="35"/>
  <c r="I181" i="35"/>
  <c r="H177" i="35"/>
  <c r="H151" i="35"/>
  <c r="F23" i="31" l="1"/>
  <c r="D7" i="28"/>
  <c r="F20" i="31" s="1"/>
  <c r="F11" i="28"/>
  <c r="D55" i="33"/>
  <c r="C55" i="33"/>
  <c r="B55" i="33"/>
  <c r="D53" i="33"/>
  <c r="E29" i="33"/>
  <c r="E49" i="33" s="1"/>
  <c r="E71" i="33" s="1"/>
  <c r="D29" i="33"/>
  <c r="D49" i="33" s="1"/>
  <c r="D71" i="33" s="1"/>
  <c r="C29" i="33"/>
  <c r="C49" i="33" s="1"/>
  <c r="C71" i="33" s="1"/>
  <c r="B29" i="33"/>
  <c r="B49" i="33" s="1"/>
  <c r="B71" i="33" s="1"/>
  <c r="C26" i="33"/>
  <c r="B26" i="33"/>
  <c r="D20" i="33"/>
  <c r="D15" i="33"/>
  <c r="E10" i="33"/>
  <c r="E26" i="33" s="1"/>
  <c r="D10" i="33"/>
  <c r="D26" i="33" s="1"/>
  <c r="E33" i="31"/>
  <c r="I40" i="31"/>
  <c r="E64" i="33"/>
  <c r="I23" i="31" l="1"/>
  <c r="B64" i="33"/>
  <c r="C64" i="33"/>
  <c r="D64" i="33"/>
  <c r="D63" i="33"/>
  <c r="D62" i="33"/>
  <c r="D60" i="33"/>
  <c r="D59" i="33"/>
  <c r="D61" i="33" s="1"/>
  <c r="D31" i="33"/>
  <c r="D35" i="33" s="1"/>
  <c r="E63" i="33"/>
  <c r="E62" i="33"/>
  <c r="E60" i="33"/>
  <c r="E59" i="33"/>
  <c r="E61" i="33" s="1"/>
  <c r="E31" i="33"/>
  <c r="E35" i="33" s="1"/>
  <c r="B63" i="33"/>
  <c r="B62" i="33"/>
  <c r="B60" i="33"/>
  <c r="B59" i="33"/>
  <c r="B61" i="33" s="1"/>
  <c r="B31" i="33"/>
  <c r="B35" i="33" s="1"/>
  <c r="C63" i="33"/>
  <c r="C62" i="33"/>
  <c r="C60" i="33"/>
  <c r="C59" i="33"/>
  <c r="C61" i="33" s="1"/>
  <c r="C31" i="33"/>
  <c r="C35" i="33" s="1"/>
  <c r="C72" i="33" l="1"/>
  <c r="C34" i="33"/>
  <c r="C66" i="33"/>
  <c r="C65" i="33"/>
  <c r="C67" i="33" s="1"/>
  <c r="C73" i="33" s="1"/>
  <c r="C77" i="33" s="1"/>
  <c r="B72" i="33"/>
  <c r="B34" i="33"/>
  <c r="B66" i="33"/>
  <c r="B65" i="33"/>
  <c r="B67" i="33" s="1"/>
  <c r="B73" i="33" s="1"/>
  <c r="E72" i="33"/>
  <c r="E77" i="33" s="1"/>
  <c r="E34" i="33"/>
  <c r="E66" i="33"/>
  <c r="E65" i="33"/>
  <c r="E67" i="33" s="1"/>
  <c r="E73" i="33" s="1"/>
  <c r="D72" i="33"/>
  <c r="D34" i="33"/>
  <c r="D66" i="33"/>
  <c r="D65" i="33"/>
  <c r="D20" i="19"/>
  <c r="B33" i="19"/>
  <c r="D21" i="19"/>
  <c r="C21" i="19"/>
  <c r="B21" i="19"/>
  <c r="C20" i="19"/>
  <c r="B20" i="19"/>
  <c r="D19" i="19"/>
  <c r="C19" i="19"/>
  <c r="B19" i="19"/>
  <c r="D34" i="19"/>
  <c r="C34" i="19"/>
  <c r="B34" i="19"/>
  <c r="D33" i="19"/>
  <c r="C33" i="19"/>
  <c r="C39" i="19"/>
  <c r="C38" i="19"/>
  <c r="D32" i="19"/>
  <c r="C32" i="19"/>
  <c r="B32" i="19"/>
  <c r="D17" i="19"/>
  <c r="D16" i="19"/>
  <c r="D15" i="19"/>
  <c r="D14" i="19"/>
  <c r="C17" i="19"/>
  <c r="C16" i="19"/>
  <c r="C15" i="19"/>
  <c r="C14" i="19"/>
  <c r="B17" i="19"/>
  <c r="B16" i="19"/>
  <c r="B15" i="19"/>
  <c r="B14" i="19"/>
  <c r="D13" i="19"/>
  <c r="D12" i="19"/>
  <c r="C13" i="19"/>
  <c r="C12" i="19"/>
  <c r="B13" i="19"/>
  <c r="B12" i="19"/>
  <c r="D11" i="19"/>
  <c r="C11" i="19"/>
  <c r="B11" i="19"/>
  <c r="D10" i="19"/>
  <c r="C10" i="19"/>
  <c r="B10" i="19"/>
  <c r="D9" i="19"/>
  <c r="C9" i="19"/>
  <c r="B9" i="19"/>
  <c r="D8" i="19"/>
  <c r="C8" i="19"/>
  <c r="B8" i="19"/>
  <c r="D7" i="19"/>
  <c r="C7" i="19"/>
  <c r="B7" i="19"/>
  <c r="C6" i="19"/>
  <c r="I39" i="31"/>
  <c r="C4" i="2"/>
  <c r="R61" i="27"/>
  <c r="R60" i="27"/>
  <c r="R59" i="27"/>
  <c r="S56" i="27"/>
  <c r="S55" i="27"/>
  <c r="S54" i="27"/>
  <c r="P61" i="27"/>
  <c r="P60" i="27"/>
  <c r="P59" i="27"/>
  <c r="Q56" i="27"/>
  <c r="Q55" i="27"/>
  <c r="Q54" i="27"/>
  <c r="N61" i="27"/>
  <c r="N60" i="27"/>
  <c r="N59" i="27"/>
  <c r="O56" i="27"/>
  <c r="O55" i="27"/>
  <c r="O54" i="27"/>
  <c r="L61" i="27"/>
  <c r="L60" i="27"/>
  <c r="L59" i="27"/>
  <c r="M56" i="27"/>
  <c r="M55" i="27"/>
  <c r="M54" i="27"/>
  <c r="J61" i="27"/>
  <c r="J60" i="27"/>
  <c r="J59" i="27"/>
  <c r="K56" i="27"/>
  <c r="K55" i="27"/>
  <c r="K54" i="27"/>
  <c r="H61" i="27"/>
  <c r="H60" i="27"/>
  <c r="H59" i="27"/>
  <c r="I56" i="27"/>
  <c r="I55" i="27"/>
  <c r="I54" i="27"/>
  <c r="F61" i="27"/>
  <c r="F60" i="27"/>
  <c r="F59" i="27"/>
  <c r="G56" i="27"/>
  <c r="G55" i="27"/>
  <c r="G54" i="27"/>
  <c r="D61" i="27"/>
  <c r="D60" i="27"/>
  <c r="D59" i="27"/>
  <c r="E56" i="27"/>
  <c r="E55" i="27"/>
  <c r="E54" i="27"/>
  <c r="H36" i="19"/>
  <c r="H39" i="19"/>
  <c r="H38" i="19"/>
  <c r="H14" i="27"/>
  <c r="I14" i="27" s="1"/>
  <c r="R38" i="27"/>
  <c r="S38" i="27" s="1"/>
  <c r="R37" i="27"/>
  <c r="S37" i="27" s="1"/>
  <c r="R35" i="27"/>
  <c r="S35" i="27" s="1"/>
  <c r="R34" i="27"/>
  <c r="S34" i="27" s="1"/>
  <c r="R33" i="27"/>
  <c r="S33" i="27" s="1"/>
  <c r="R32" i="27"/>
  <c r="S32" i="27" s="1"/>
  <c r="R31" i="27"/>
  <c r="S31" i="27" s="1"/>
  <c r="R29" i="27"/>
  <c r="S29" i="27" s="1"/>
  <c r="R28" i="27"/>
  <c r="S28" i="27" s="1"/>
  <c r="R27" i="27"/>
  <c r="S27" i="27" s="1"/>
  <c r="R26" i="27"/>
  <c r="S26" i="27" s="1"/>
  <c r="R25" i="27"/>
  <c r="S25" i="27" s="1"/>
  <c r="R24" i="27"/>
  <c r="S24" i="27" s="1"/>
  <c r="R23" i="27"/>
  <c r="S23" i="27" s="1"/>
  <c r="R21" i="27"/>
  <c r="S21" i="27" s="1"/>
  <c r="R20" i="27"/>
  <c r="S20" i="27" s="1"/>
  <c r="R19" i="27"/>
  <c r="S19" i="27" s="1"/>
  <c r="R18" i="27"/>
  <c r="S18" i="27" s="1"/>
  <c r="R17" i="27"/>
  <c r="S17" i="27" s="1"/>
  <c r="R16" i="27"/>
  <c r="S16" i="27" s="1"/>
  <c r="R15" i="27"/>
  <c r="S15" i="27" s="1"/>
  <c r="R13" i="27"/>
  <c r="S13" i="27" s="1"/>
  <c r="P38" i="27"/>
  <c r="Q38" i="27" s="1"/>
  <c r="P37" i="27"/>
  <c r="Q37" i="27" s="1"/>
  <c r="P35" i="27"/>
  <c r="Q35" i="27" s="1"/>
  <c r="P34" i="27"/>
  <c r="Q34" i="27" s="1"/>
  <c r="P33" i="27"/>
  <c r="Q33" i="27" s="1"/>
  <c r="P32" i="27"/>
  <c r="Q32" i="27" s="1"/>
  <c r="P31" i="27"/>
  <c r="Q31" i="27" s="1"/>
  <c r="P29" i="27"/>
  <c r="Q29" i="27" s="1"/>
  <c r="P28" i="27"/>
  <c r="Q28" i="27" s="1"/>
  <c r="P27" i="27"/>
  <c r="Q27" i="27" s="1"/>
  <c r="P26" i="27"/>
  <c r="Q26" i="27" s="1"/>
  <c r="P25" i="27"/>
  <c r="Q25" i="27" s="1"/>
  <c r="P24" i="27"/>
  <c r="Q24" i="27" s="1"/>
  <c r="P23" i="27"/>
  <c r="Q23" i="27" s="1"/>
  <c r="P21" i="27"/>
  <c r="Q21" i="27" s="1"/>
  <c r="P20" i="27"/>
  <c r="Q20" i="27" s="1"/>
  <c r="P19" i="27"/>
  <c r="Q19" i="27" s="1"/>
  <c r="P18" i="27"/>
  <c r="Q18" i="27" s="1"/>
  <c r="P17" i="27"/>
  <c r="Q17" i="27" s="1"/>
  <c r="P16" i="27"/>
  <c r="Q16" i="27" s="1"/>
  <c r="P15" i="27"/>
  <c r="Q15" i="27" s="1"/>
  <c r="P14" i="27"/>
  <c r="Q14" i="27" s="1"/>
  <c r="P13" i="27"/>
  <c r="Q13" i="27" s="1"/>
  <c r="N38" i="27"/>
  <c r="O38" i="27" s="1"/>
  <c r="N37" i="27"/>
  <c r="O37" i="27" s="1"/>
  <c r="N35" i="27"/>
  <c r="O35" i="27" s="1"/>
  <c r="N34" i="27"/>
  <c r="O34" i="27" s="1"/>
  <c r="N33" i="27"/>
  <c r="O33" i="27" s="1"/>
  <c r="N32" i="27"/>
  <c r="O32" i="27" s="1"/>
  <c r="N31" i="27"/>
  <c r="O31" i="27" s="1"/>
  <c r="N29" i="27"/>
  <c r="O29" i="27" s="1"/>
  <c r="N28" i="27"/>
  <c r="O28" i="27" s="1"/>
  <c r="N27" i="27"/>
  <c r="O27" i="27" s="1"/>
  <c r="N26" i="27"/>
  <c r="O26" i="27" s="1"/>
  <c r="N25" i="27"/>
  <c r="O25" i="27" s="1"/>
  <c r="N24" i="27"/>
  <c r="O24" i="27" s="1"/>
  <c r="N23" i="27"/>
  <c r="O23" i="27" s="1"/>
  <c r="N21" i="27"/>
  <c r="O21" i="27" s="1"/>
  <c r="N20" i="27"/>
  <c r="O20" i="27" s="1"/>
  <c r="N19" i="27"/>
  <c r="O19" i="27" s="1"/>
  <c r="N18" i="27"/>
  <c r="O18" i="27" s="1"/>
  <c r="N17" i="27"/>
  <c r="O17" i="27" s="1"/>
  <c r="N16" i="27"/>
  <c r="O16" i="27" s="1"/>
  <c r="N15" i="27"/>
  <c r="O15" i="27" s="1"/>
  <c r="N13" i="27"/>
  <c r="O13" i="27" s="1"/>
  <c r="L38" i="27"/>
  <c r="M38" i="27" s="1"/>
  <c r="L37" i="27"/>
  <c r="M37" i="27" s="1"/>
  <c r="L35" i="27"/>
  <c r="M35" i="27" s="1"/>
  <c r="L34" i="27"/>
  <c r="M34" i="27" s="1"/>
  <c r="L33" i="27"/>
  <c r="M33" i="27" s="1"/>
  <c r="L32" i="27"/>
  <c r="M32" i="27" s="1"/>
  <c r="L31" i="27"/>
  <c r="M31" i="27" s="1"/>
  <c r="L29" i="27"/>
  <c r="M29" i="27" s="1"/>
  <c r="L28" i="27"/>
  <c r="M28" i="27" s="1"/>
  <c r="L27" i="27"/>
  <c r="M27" i="27" s="1"/>
  <c r="L26" i="27"/>
  <c r="M26" i="27" s="1"/>
  <c r="L25" i="27"/>
  <c r="M25" i="27" s="1"/>
  <c r="L24" i="27"/>
  <c r="M24" i="27" s="1"/>
  <c r="L23" i="27"/>
  <c r="M23" i="27" s="1"/>
  <c r="L21" i="27"/>
  <c r="M21" i="27" s="1"/>
  <c r="L20" i="27"/>
  <c r="M20" i="27" s="1"/>
  <c r="L19" i="27"/>
  <c r="M19" i="27" s="1"/>
  <c r="L18" i="27"/>
  <c r="M18" i="27" s="1"/>
  <c r="L17" i="27"/>
  <c r="M17" i="27" s="1"/>
  <c r="L16" i="27"/>
  <c r="M16" i="27" s="1"/>
  <c r="L15" i="27"/>
  <c r="M15" i="27" s="1"/>
  <c r="L13" i="27"/>
  <c r="M13" i="27" s="1"/>
  <c r="J38" i="27"/>
  <c r="K38" i="27" s="1"/>
  <c r="J37" i="27"/>
  <c r="K37" i="27" s="1"/>
  <c r="J35" i="27"/>
  <c r="K35" i="27" s="1"/>
  <c r="J34" i="27"/>
  <c r="K34" i="27" s="1"/>
  <c r="J33" i="27"/>
  <c r="K33" i="27" s="1"/>
  <c r="J32" i="27"/>
  <c r="K32" i="27" s="1"/>
  <c r="J31" i="27"/>
  <c r="K31" i="27" s="1"/>
  <c r="J29" i="27"/>
  <c r="K29" i="27" s="1"/>
  <c r="J28" i="27"/>
  <c r="K28" i="27" s="1"/>
  <c r="J27" i="27"/>
  <c r="K27" i="27" s="1"/>
  <c r="J26" i="27"/>
  <c r="K26" i="27" s="1"/>
  <c r="J25" i="27"/>
  <c r="K25" i="27" s="1"/>
  <c r="J24" i="27"/>
  <c r="K24" i="27" s="1"/>
  <c r="J23" i="27"/>
  <c r="K23" i="27" s="1"/>
  <c r="J21" i="27"/>
  <c r="K21" i="27" s="1"/>
  <c r="J20" i="27"/>
  <c r="K20" i="27" s="1"/>
  <c r="J19" i="27"/>
  <c r="K19" i="27" s="1"/>
  <c r="J18" i="27"/>
  <c r="K18" i="27" s="1"/>
  <c r="J17" i="27"/>
  <c r="K17" i="27" s="1"/>
  <c r="J16" i="27"/>
  <c r="K16" i="27" s="1"/>
  <c r="J15" i="27"/>
  <c r="K15" i="27" s="1"/>
  <c r="J13" i="27"/>
  <c r="K13" i="27" s="1"/>
  <c r="H38" i="27"/>
  <c r="I38" i="27" s="1"/>
  <c r="H37" i="27"/>
  <c r="I37" i="27" s="1"/>
  <c r="H35" i="27"/>
  <c r="I35" i="27" s="1"/>
  <c r="H34" i="27"/>
  <c r="I34" i="27" s="1"/>
  <c r="H33" i="27"/>
  <c r="I33" i="27" s="1"/>
  <c r="H32" i="27"/>
  <c r="I32" i="27" s="1"/>
  <c r="H31" i="27"/>
  <c r="I31" i="27" s="1"/>
  <c r="H29" i="27"/>
  <c r="I29" i="27" s="1"/>
  <c r="H28" i="27"/>
  <c r="I28" i="27" s="1"/>
  <c r="H27" i="27"/>
  <c r="I27" i="27" s="1"/>
  <c r="H26" i="27"/>
  <c r="I26" i="27" s="1"/>
  <c r="H25" i="27"/>
  <c r="I25" i="27" s="1"/>
  <c r="H24" i="27"/>
  <c r="I24" i="27" s="1"/>
  <c r="H23" i="27"/>
  <c r="I23" i="27" s="1"/>
  <c r="H21" i="27"/>
  <c r="I21" i="27" s="1"/>
  <c r="H20" i="27"/>
  <c r="I20" i="27" s="1"/>
  <c r="H19" i="27"/>
  <c r="I19" i="27" s="1"/>
  <c r="H18" i="27"/>
  <c r="I18" i="27" s="1"/>
  <c r="H17" i="27"/>
  <c r="I17" i="27" s="1"/>
  <c r="H16" i="27"/>
  <c r="I16" i="27" s="1"/>
  <c r="H15" i="27"/>
  <c r="I15" i="27" s="1"/>
  <c r="H13" i="27"/>
  <c r="I13" i="27" s="1"/>
  <c r="F38" i="27"/>
  <c r="G38" i="27" s="1"/>
  <c r="F37" i="27"/>
  <c r="G37" i="27" s="1"/>
  <c r="F35" i="27"/>
  <c r="G35" i="27" s="1"/>
  <c r="F34" i="27"/>
  <c r="G34" i="27" s="1"/>
  <c r="F33" i="27"/>
  <c r="G33" i="27" s="1"/>
  <c r="F32" i="27"/>
  <c r="G32" i="27" s="1"/>
  <c r="F31" i="27"/>
  <c r="G31" i="27" s="1"/>
  <c r="F29" i="27"/>
  <c r="G29" i="27" s="1"/>
  <c r="F28" i="27"/>
  <c r="G28" i="27" s="1"/>
  <c r="F27" i="27"/>
  <c r="G27" i="27" s="1"/>
  <c r="F26" i="27"/>
  <c r="G26" i="27" s="1"/>
  <c r="F25" i="27"/>
  <c r="G25" i="27" s="1"/>
  <c r="F24" i="27"/>
  <c r="G24" i="27" s="1"/>
  <c r="F23" i="27"/>
  <c r="G23" i="27" s="1"/>
  <c r="F21" i="27"/>
  <c r="G21" i="27" s="1"/>
  <c r="F20" i="27"/>
  <c r="G20" i="27" s="1"/>
  <c r="F19" i="27"/>
  <c r="G19" i="27" s="1"/>
  <c r="F18" i="27"/>
  <c r="G18" i="27" s="1"/>
  <c r="F17" i="27"/>
  <c r="G17" i="27" s="1"/>
  <c r="F16" i="27"/>
  <c r="G16" i="27" s="1"/>
  <c r="F15" i="27"/>
  <c r="G15" i="27" s="1"/>
  <c r="F14" i="27"/>
  <c r="G14" i="27" s="1"/>
  <c r="F13" i="27"/>
  <c r="G13" i="27" s="1"/>
  <c r="D38" i="27"/>
  <c r="E38" i="27" s="1"/>
  <c r="D37" i="27"/>
  <c r="E37" i="27" s="1"/>
  <c r="D35" i="27"/>
  <c r="E35" i="27" s="1"/>
  <c r="D34" i="27"/>
  <c r="E34" i="27" s="1"/>
  <c r="D33" i="27"/>
  <c r="E33" i="27" s="1"/>
  <c r="D32" i="27"/>
  <c r="E32" i="27" s="1"/>
  <c r="D31" i="27"/>
  <c r="E31" i="27" s="1"/>
  <c r="D29" i="27"/>
  <c r="E29" i="27" s="1"/>
  <c r="D28" i="27"/>
  <c r="E28" i="27" s="1"/>
  <c r="D27" i="27"/>
  <c r="E27" i="27" s="1"/>
  <c r="D26" i="27"/>
  <c r="E26" i="27" s="1"/>
  <c r="D25" i="27"/>
  <c r="E25" i="27" s="1"/>
  <c r="D24" i="27"/>
  <c r="E24" i="27" s="1"/>
  <c r="D23" i="27"/>
  <c r="E23" i="27" s="1"/>
  <c r="D21" i="27"/>
  <c r="E21" i="27" s="1"/>
  <c r="D20" i="27"/>
  <c r="E20" i="27" s="1"/>
  <c r="D19" i="27"/>
  <c r="E19" i="27" s="1"/>
  <c r="D18" i="27"/>
  <c r="E18" i="27" s="1"/>
  <c r="D17" i="27"/>
  <c r="E17" i="27" s="1"/>
  <c r="D16" i="27"/>
  <c r="E16" i="27" s="1"/>
  <c r="D15" i="27"/>
  <c r="E15" i="27" s="1"/>
  <c r="D14" i="27"/>
  <c r="E14" i="27" s="1"/>
  <c r="D13" i="27"/>
  <c r="E13" i="27" s="1"/>
  <c r="C18" i="22"/>
  <c r="D18" i="22" s="1"/>
  <c r="F18" i="22" s="1"/>
  <c r="E44" i="12"/>
  <c r="F37" i="12"/>
  <c r="F39" i="12" s="1"/>
  <c r="G37" i="12"/>
  <c r="G39" i="12" s="1"/>
  <c r="H39" i="12" s="1"/>
  <c r="H40" i="12" s="1"/>
  <c r="H38" i="12"/>
  <c r="K41" i="12"/>
  <c r="K6" i="12"/>
  <c r="J11" i="12"/>
  <c r="K10" i="12" s="1"/>
  <c r="K19" i="12" s="1"/>
  <c r="C78" i="33" s="1"/>
  <c r="C28" i="2"/>
  <c r="C22" i="2"/>
  <c r="C14" i="2"/>
  <c r="O57" i="27" l="1"/>
  <c r="G40" i="12"/>
  <c r="N58" i="27"/>
  <c r="H58" i="27"/>
  <c r="F40" i="12"/>
  <c r="G57" i="27"/>
  <c r="M57" i="27"/>
  <c r="S57" i="27"/>
  <c r="F58" i="27"/>
  <c r="L58" i="27"/>
  <c r="R58" i="27"/>
  <c r="K16" i="12"/>
  <c r="K17" i="12"/>
  <c r="K18" i="12"/>
  <c r="F34" i="31" s="1"/>
  <c r="I34" i="31" s="1"/>
  <c r="I57" i="27"/>
  <c r="B78" i="33"/>
  <c r="E57" i="27"/>
  <c r="Q57" i="27"/>
  <c r="C79" i="33"/>
  <c r="D58" i="27"/>
  <c r="J58" i="27"/>
  <c r="P58" i="27"/>
  <c r="E78" i="33"/>
  <c r="E79" i="33" s="1"/>
  <c r="K57" i="27"/>
  <c r="D78" i="33"/>
  <c r="G36" i="27"/>
  <c r="G30" i="27"/>
  <c r="O30" i="27"/>
  <c r="G22" i="27"/>
  <c r="E36" i="27"/>
  <c r="I12" i="27"/>
  <c r="G12" i="27"/>
  <c r="E30" i="27"/>
  <c r="D67" i="33"/>
  <c r="D73" i="33" s="1"/>
  <c r="D77" i="33" s="1"/>
  <c r="B77" i="33"/>
  <c r="I30" i="27"/>
  <c r="Q36" i="27"/>
  <c r="F38" i="19"/>
  <c r="I38" i="19" s="1"/>
  <c r="O48" i="27"/>
  <c r="N48" i="27"/>
  <c r="B7" i="28"/>
  <c r="C7" i="28"/>
  <c r="O36" i="27"/>
  <c r="M36" i="27"/>
  <c r="I36" i="27"/>
  <c r="K30" i="27"/>
  <c r="M30" i="27"/>
  <c r="E12" i="27"/>
  <c r="E22" i="27"/>
  <c r="I22" i="27"/>
  <c r="K22" i="27"/>
  <c r="M22" i="27"/>
  <c r="O22" i="27"/>
  <c r="Q12" i="27"/>
  <c r="Q22" i="27"/>
  <c r="Q30" i="27"/>
  <c r="S22" i="27"/>
  <c r="S30" i="27"/>
  <c r="K36" i="27"/>
  <c r="S36" i="27"/>
  <c r="D36" i="27"/>
  <c r="F36" i="27"/>
  <c r="J36" i="27"/>
  <c r="P36" i="27"/>
  <c r="R14" i="27"/>
  <c r="N14" i="27"/>
  <c r="L14" i="27"/>
  <c r="J14" i="27"/>
  <c r="N36" i="27"/>
  <c r="H36" i="27"/>
  <c r="R30" i="27"/>
  <c r="R22" i="27"/>
  <c r="R36" i="27"/>
  <c r="H22" i="27"/>
  <c r="L22" i="27"/>
  <c r="H30" i="27"/>
  <c r="F30" i="27"/>
  <c r="N30" i="27"/>
  <c r="L30" i="27"/>
  <c r="J22" i="27"/>
  <c r="F12" i="27"/>
  <c r="L36" i="27"/>
  <c r="N22" i="27"/>
  <c r="P22" i="27"/>
  <c r="P12" i="27"/>
  <c r="H12" i="27"/>
  <c r="J30" i="27"/>
  <c r="P30" i="27"/>
  <c r="F22" i="27"/>
  <c r="D30" i="27"/>
  <c r="D22" i="27"/>
  <c r="D12" i="27"/>
  <c r="C31" i="2"/>
  <c r="B79" i="33" l="1"/>
  <c r="F32" i="19"/>
  <c r="I32" i="19" s="1"/>
  <c r="D79" i="33"/>
  <c r="F34" i="19"/>
  <c r="I34" i="19" s="1"/>
  <c r="Q39" i="27"/>
  <c r="E39" i="27"/>
  <c r="G39" i="27"/>
  <c r="F36" i="19"/>
  <c r="I36" i="31"/>
  <c r="J12" i="27"/>
  <c r="J39" i="27" s="1"/>
  <c r="K14" i="27"/>
  <c r="K12" i="27" s="1"/>
  <c r="K39" i="27" s="1"/>
  <c r="L12" i="27"/>
  <c r="L39" i="27" s="1"/>
  <c r="M14" i="27"/>
  <c r="M12" i="27" s="1"/>
  <c r="M39" i="27" s="1"/>
  <c r="N12" i="27"/>
  <c r="N39" i="27" s="1"/>
  <c r="N50" i="27" s="1"/>
  <c r="O53" i="27" s="1"/>
  <c r="O14" i="27"/>
  <c r="O12" i="27" s="1"/>
  <c r="O39" i="27" s="1"/>
  <c r="O50" i="27" s="1"/>
  <c r="R12" i="27"/>
  <c r="R39" i="27" s="1"/>
  <c r="S14" i="27"/>
  <c r="S12" i="27" s="1"/>
  <c r="S39" i="27" s="1"/>
  <c r="I38" i="31"/>
  <c r="I39" i="27"/>
  <c r="F37" i="19"/>
  <c r="I37" i="19" s="1"/>
  <c r="I36" i="19"/>
  <c r="F39" i="19"/>
  <c r="I39" i="19" s="1"/>
  <c r="I35" i="19" s="1"/>
  <c r="D48" i="27"/>
  <c r="E48" i="27"/>
  <c r="H39" i="27"/>
  <c r="P39" i="27"/>
  <c r="F39" i="27"/>
  <c r="D39" i="27"/>
  <c r="I35" i="31" l="1"/>
  <c r="F32" i="31"/>
  <c r="I32" i="31" s="1"/>
  <c r="F33" i="31"/>
  <c r="I33" i="31" s="1"/>
  <c r="F33" i="19"/>
  <c r="I33" i="19" s="1"/>
  <c r="I31" i="19" s="1"/>
  <c r="I41" i="19" s="1"/>
  <c r="J33" i="19" s="1"/>
  <c r="E50" i="27"/>
  <c r="D50" i="27"/>
  <c r="E53" i="27" s="1"/>
  <c r="D62" i="27" s="1"/>
  <c r="D64" i="27" s="1"/>
  <c r="F6" i="31" s="1"/>
  <c r="I22" i="31"/>
  <c r="F22" i="19"/>
  <c r="I22" i="19" s="1"/>
  <c r="F23" i="19"/>
  <c r="I23" i="19" s="1"/>
  <c r="N62" i="27"/>
  <c r="N64" i="27" s="1"/>
  <c r="F11" i="31" s="1"/>
  <c r="I11" i="31" s="1"/>
  <c r="G48" i="27"/>
  <c r="G50" i="27" s="1"/>
  <c r="F48" i="27"/>
  <c r="F50" i="27" s="1"/>
  <c r="G53" i="27" s="1"/>
  <c r="I48" i="27"/>
  <c r="I50" i="27" s="1"/>
  <c r="H48" i="27"/>
  <c r="H50" i="27" s="1"/>
  <c r="I53" i="27" s="1"/>
  <c r="R48" i="27"/>
  <c r="R50" i="27" s="1"/>
  <c r="S53" i="27" s="1"/>
  <c r="S48" i="27"/>
  <c r="S50" i="27" s="1"/>
  <c r="P48" i="27"/>
  <c r="P50" i="27" s="1"/>
  <c r="Q53" i="27" s="1"/>
  <c r="Q48" i="27"/>
  <c r="Q50" i="27" s="1"/>
  <c r="K48" i="27"/>
  <c r="K50" i="27" s="1"/>
  <c r="J48" i="27"/>
  <c r="J50" i="27" s="1"/>
  <c r="K53" i="27" s="1"/>
  <c r="L48" i="27"/>
  <c r="L50" i="27" s="1"/>
  <c r="M53" i="27" s="1"/>
  <c r="M48" i="27"/>
  <c r="M50" i="27" s="1"/>
  <c r="I6" i="31" l="1"/>
  <c r="I31" i="31"/>
  <c r="I42" i="31" s="1"/>
  <c r="F6" i="19"/>
  <c r="I6" i="19" s="1"/>
  <c r="I21" i="31"/>
  <c r="F18" i="31"/>
  <c r="I18" i="31" s="1"/>
  <c r="J41" i="19"/>
  <c r="I19" i="31"/>
  <c r="J39" i="19"/>
  <c r="I43" i="19"/>
  <c r="E38" i="22" s="1"/>
  <c r="J38" i="19"/>
  <c r="J32" i="19"/>
  <c r="J36" i="19"/>
  <c r="J37" i="19"/>
  <c r="J34" i="19"/>
  <c r="L62" i="27"/>
  <c r="L64" i="27" s="1"/>
  <c r="J62" i="27"/>
  <c r="J64" i="27" s="1"/>
  <c r="F62" i="27"/>
  <c r="F64" i="27" s="1"/>
  <c r="F7" i="31" s="1"/>
  <c r="I7" i="31" s="1"/>
  <c r="R62" i="27"/>
  <c r="R64" i="27" s="1"/>
  <c r="H62" i="27"/>
  <c r="H64" i="27" s="1"/>
  <c r="F8" i="31" s="1"/>
  <c r="I8" i="31" s="1"/>
  <c r="F11" i="19"/>
  <c r="I11" i="19" s="1"/>
  <c r="P62" i="27"/>
  <c r="P64" i="27" s="1"/>
  <c r="I20" i="31"/>
  <c r="J38" i="31" l="1"/>
  <c r="J37" i="31"/>
  <c r="J33" i="31"/>
  <c r="J34" i="31"/>
  <c r="J40" i="31"/>
  <c r="I44" i="31"/>
  <c r="J42" i="31"/>
  <c r="J39" i="31"/>
  <c r="J36" i="31"/>
  <c r="J32" i="31"/>
  <c r="F19" i="19"/>
  <c r="I19" i="19" s="1"/>
  <c r="F12" i="31"/>
  <c r="I12" i="31" s="1"/>
  <c r="F13" i="31"/>
  <c r="I13" i="31" s="1"/>
  <c r="F13" i="19"/>
  <c r="I13" i="19" s="1"/>
  <c r="F16" i="31"/>
  <c r="I16" i="31" s="1"/>
  <c r="F15" i="31"/>
  <c r="I15" i="31" s="1"/>
  <c r="F14" i="31"/>
  <c r="I14" i="31" s="1"/>
  <c r="F17" i="19"/>
  <c r="I17" i="19" s="1"/>
  <c r="F10" i="19"/>
  <c r="I10" i="19" s="1"/>
  <c r="F10" i="31"/>
  <c r="I10" i="31" s="1"/>
  <c r="F9" i="19"/>
  <c r="I9" i="19" s="1"/>
  <c r="F9" i="31"/>
  <c r="I9" i="31" s="1"/>
  <c r="J31" i="19"/>
  <c r="F20" i="19"/>
  <c r="I20" i="19" s="1"/>
  <c r="I38" i="22"/>
  <c r="G16" i="22"/>
  <c r="G18" i="22" s="1"/>
  <c r="F21" i="19"/>
  <c r="I21" i="19" s="1"/>
  <c r="J35" i="19"/>
  <c r="H38" i="22"/>
  <c r="I16" i="22"/>
  <c r="F38" i="22"/>
  <c r="C38" i="22"/>
  <c r="D38" i="22"/>
  <c r="J38" i="22"/>
  <c r="G38" i="22"/>
  <c r="H16" i="22"/>
  <c r="J16" i="22"/>
  <c r="F16" i="19"/>
  <c r="I16" i="19" s="1"/>
  <c r="F14" i="19"/>
  <c r="I14" i="19" s="1"/>
  <c r="F15" i="19"/>
  <c r="I15" i="19" s="1"/>
  <c r="F8" i="19"/>
  <c r="I8" i="19" s="1"/>
  <c r="F12" i="19"/>
  <c r="I12" i="19" s="1"/>
  <c r="F7" i="19"/>
  <c r="E12" i="32" l="1"/>
  <c r="E20" i="32" s="1"/>
  <c r="D12" i="32"/>
  <c r="D20" i="32" s="1"/>
  <c r="J31" i="31"/>
  <c r="J35" i="31"/>
  <c r="E39" i="32"/>
  <c r="F16" i="32"/>
  <c r="I16" i="32"/>
  <c r="J16" i="32"/>
  <c r="J20" i="32" s="1"/>
  <c r="G16" i="32"/>
  <c r="G20" i="32" s="1"/>
  <c r="H16" i="32"/>
  <c r="H20" i="32" s="1"/>
  <c r="C12" i="32"/>
  <c r="I5" i="31"/>
  <c r="I39" i="32"/>
  <c r="G39" i="32"/>
  <c r="C39" i="32"/>
  <c r="H39" i="32"/>
  <c r="D39" i="32"/>
  <c r="F39" i="32"/>
  <c r="C12" i="22"/>
  <c r="C20" i="22" s="1"/>
  <c r="C22" i="22" s="1"/>
  <c r="I17" i="31"/>
  <c r="H18" i="22"/>
  <c r="I18" i="22" s="1"/>
  <c r="J18" i="22" s="1"/>
  <c r="C40" i="22" s="1"/>
  <c r="D40" i="22" s="1"/>
  <c r="E40" i="22" s="1"/>
  <c r="F40" i="22" s="1"/>
  <c r="G40" i="22" s="1"/>
  <c r="H40" i="22" s="1"/>
  <c r="I40" i="22" s="1"/>
  <c r="J40" i="22" s="1"/>
  <c r="I18" i="19"/>
  <c r="I7" i="19"/>
  <c r="I5" i="19" s="1"/>
  <c r="H34" i="22"/>
  <c r="H42" i="22" s="1"/>
  <c r="G34" i="22"/>
  <c r="G42" i="22" s="1"/>
  <c r="F34" i="22"/>
  <c r="F42" i="22" s="1"/>
  <c r="I12" i="22"/>
  <c r="I20" i="22" s="1"/>
  <c r="E34" i="22"/>
  <c r="E42" i="22" s="1"/>
  <c r="J12" i="22"/>
  <c r="J20" i="22" s="1"/>
  <c r="D34" i="22"/>
  <c r="D42" i="22" s="1"/>
  <c r="G12" i="22"/>
  <c r="G20" i="22" s="1"/>
  <c r="C34" i="22"/>
  <c r="C42" i="22" s="1"/>
  <c r="D12" i="22"/>
  <c r="D20" i="22" s="1"/>
  <c r="J34" i="22"/>
  <c r="J42" i="22" s="1"/>
  <c r="F12" i="22"/>
  <c r="F20" i="22" s="1"/>
  <c r="I34" i="22"/>
  <c r="I42" i="22" s="1"/>
  <c r="H12" i="22"/>
  <c r="H20" i="22" s="1"/>
  <c r="I20" i="32" l="1"/>
  <c r="F18" i="32"/>
  <c r="G18" i="32" s="1"/>
  <c r="H18" i="32" s="1"/>
  <c r="I18" i="32" s="1"/>
  <c r="J18" i="32" s="1"/>
  <c r="C41" i="32" s="1"/>
  <c r="D41" i="32" s="1"/>
  <c r="E41" i="32" s="1"/>
  <c r="F41" i="32" s="1"/>
  <c r="G41" i="32" s="1"/>
  <c r="H41" i="32" s="1"/>
  <c r="I41" i="32" s="1"/>
  <c r="F20" i="32"/>
  <c r="C14" i="32"/>
  <c r="D14" i="32" s="1"/>
  <c r="E14" i="32" s="1"/>
  <c r="F14" i="32" s="1"/>
  <c r="G14" i="32" s="1"/>
  <c r="H14" i="32" s="1"/>
  <c r="I14" i="32" s="1"/>
  <c r="J14" i="32" s="1"/>
  <c r="C37" i="32" s="1"/>
  <c r="D37" i="32" s="1"/>
  <c r="E37" i="32" s="1"/>
  <c r="F37" i="32" s="1"/>
  <c r="G37" i="32" s="1"/>
  <c r="H37" i="32" s="1"/>
  <c r="I37" i="32" s="1"/>
  <c r="C20" i="32"/>
  <c r="C22" i="32" s="1"/>
  <c r="D22" i="32" s="1"/>
  <c r="E22" i="32" s="1"/>
  <c r="I25" i="31"/>
  <c r="J23" i="31" s="1"/>
  <c r="C43" i="32"/>
  <c r="D43" i="32"/>
  <c r="E43" i="32"/>
  <c r="F43" i="32"/>
  <c r="G43" i="32"/>
  <c r="H43" i="32"/>
  <c r="I43" i="32"/>
  <c r="D22" i="22"/>
  <c r="F22" i="22" s="1"/>
  <c r="G22" i="22" s="1"/>
  <c r="H22" i="22" s="1"/>
  <c r="I22" i="22" s="1"/>
  <c r="J22" i="22" s="1"/>
  <c r="C44" i="22" s="1"/>
  <c r="D44" i="22" s="1"/>
  <c r="E44" i="22" s="1"/>
  <c r="F44" i="22" s="1"/>
  <c r="G44" i="22" s="1"/>
  <c r="H44" i="22" s="1"/>
  <c r="I44" i="22" s="1"/>
  <c r="J44" i="22" s="1"/>
  <c r="G21" i="22" s="1"/>
  <c r="C14" i="22"/>
  <c r="D14" i="22" s="1"/>
  <c r="F14" i="22" s="1"/>
  <c r="G14" i="22" s="1"/>
  <c r="H14" i="22" s="1"/>
  <c r="I14" i="22" s="1"/>
  <c r="J14" i="22" s="1"/>
  <c r="C36" i="22" s="1"/>
  <c r="D36" i="22" s="1"/>
  <c r="E36" i="22" s="1"/>
  <c r="F36" i="22" s="1"/>
  <c r="G36" i="22" s="1"/>
  <c r="H36" i="22" s="1"/>
  <c r="I36" i="22" s="1"/>
  <c r="J36" i="22" s="1"/>
  <c r="I25" i="19"/>
  <c r="F22" i="32" l="1"/>
  <c r="G22" i="32" s="1"/>
  <c r="H22" i="32" s="1"/>
  <c r="I22" i="32" s="1"/>
  <c r="J22" i="32" s="1"/>
  <c r="J19" i="31"/>
  <c r="J12" i="31"/>
  <c r="J18" i="31"/>
  <c r="J20" i="31"/>
  <c r="J21" i="31"/>
  <c r="J22" i="31"/>
  <c r="I27" i="31"/>
  <c r="I46" i="31" s="1"/>
  <c r="J25" i="31"/>
  <c r="J6" i="31"/>
  <c r="J7" i="31"/>
  <c r="J8" i="31"/>
  <c r="J9" i="31"/>
  <c r="J10" i="31"/>
  <c r="J11" i="31"/>
  <c r="J13" i="31"/>
  <c r="J14" i="31"/>
  <c r="J15" i="31"/>
  <c r="J16" i="31"/>
  <c r="C43" i="22"/>
  <c r="C35" i="22"/>
  <c r="G39" i="22"/>
  <c r="F35" i="22"/>
  <c r="J13" i="22"/>
  <c r="G43" i="22"/>
  <c r="J39" i="22"/>
  <c r="H39" i="22"/>
  <c r="I39" i="22"/>
  <c r="E35" i="22"/>
  <c r="G13" i="22"/>
  <c r="I17" i="22"/>
  <c r="J21" i="22"/>
  <c r="C21" i="22"/>
  <c r="D17" i="22"/>
  <c r="E39" i="22"/>
  <c r="H21" i="22"/>
  <c r="D35" i="22"/>
  <c r="D21" i="22"/>
  <c r="H35" i="22"/>
  <c r="F13" i="22"/>
  <c r="H17" i="22"/>
  <c r="D39" i="22"/>
  <c r="D13" i="22"/>
  <c r="G35" i="22"/>
  <c r="C23" i="22"/>
  <c r="C17" i="22"/>
  <c r="C19" i="22" s="1"/>
  <c r="E43" i="22"/>
  <c r="G17" i="22"/>
  <c r="F39" i="22"/>
  <c r="C13" i="22"/>
  <c r="C15" i="22" s="1"/>
  <c r="J35" i="22"/>
  <c r="F17" i="22"/>
  <c r="C39" i="22"/>
  <c r="I35" i="22"/>
  <c r="H43" i="22"/>
  <c r="I43" i="22"/>
  <c r="F43" i="22"/>
  <c r="F21" i="22"/>
  <c r="H13" i="22"/>
  <c r="J43" i="22"/>
  <c r="I13" i="22"/>
  <c r="J17" i="22"/>
  <c r="D43" i="22"/>
  <c r="I21" i="22"/>
  <c r="J16" i="19"/>
  <c r="J22" i="19"/>
  <c r="I27" i="19"/>
  <c r="I45" i="19" s="1"/>
  <c r="J12" i="19"/>
  <c r="J9" i="19"/>
  <c r="J23" i="19"/>
  <c r="J17" i="19"/>
  <c r="J21" i="19"/>
  <c r="J14" i="19"/>
  <c r="J15" i="19"/>
  <c r="J13" i="19"/>
  <c r="J7" i="19"/>
  <c r="J8" i="19"/>
  <c r="J20" i="19"/>
  <c r="J25" i="19"/>
  <c r="J11" i="19"/>
  <c r="J19" i="19"/>
  <c r="J10" i="19"/>
  <c r="J6" i="19"/>
  <c r="J5" i="31" l="1"/>
  <c r="J17" i="31"/>
  <c r="C45" i="32"/>
  <c r="D45" i="32" s="1"/>
  <c r="E45" i="32" s="1"/>
  <c r="F45" i="32" s="1"/>
  <c r="G45" i="32" s="1"/>
  <c r="H45" i="32" s="1"/>
  <c r="I45" i="32" s="1"/>
  <c r="D15" i="22"/>
  <c r="F15" i="22" s="1"/>
  <c r="G15" i="22" s="1"/>
  <c r="H15" i="22" s="1"/>
  <c r="I15" i="22" s="1"/>
  <c r="J15" i="22" s="1"/>
  <c r="C37" i="22" s="1"/>
  <c r="D37" i="22" s="1"/>
  <c r="E37" i="22" s="1"/>
  <c r="F37" i="22" s="1"/>
  <c r="G37" i="22" s="1"/>
  <c r="H37" i="22" s="1"/>
  <c r="I37" i="22" s="1"/>
  <c r="J37" i="22" s="1"/>
  <c r="D19" i="22"/>
  <c r="F19" i="22" s="1"/>
  <c r="G19" i="22" s="1"/>
  <c r="H19" i="22" s="1"/>
  <c r="I19" i="22" s="1"/>
  <c r="J19" i="22" s="1"/>
  <c r="C41" i="22" s="1"/>
  <c r="D41" i="22" s="1"/>
  <c r="E41" i="22" s="1"/>
  <c r="F41" i="22" s="1"/>
  <c r="G41" i="22" s="1"/>
  <c r="H41" i="22" s="1"/>
  <c r="I41" i="22" s="1"/>
  <c r="J41" i="22" s="1"/>
  <c r="J18" i="19"/>
  <c r="D23" i="22"/>
  <c r="F23" i="22" s="1"/>
  <c r="G23" i="22" s="1"/>
  <c r="H23" i="22" s="1"/>
  <c r="I23" i="22" s="1"/>
  <c r="J23" i="22" s="1"/>
  <c r="C45" i="22" s="1"/>
  <c r="D45" i="22" s="1"/>
  <c r="E45" i="22" s="1"/>
  <c r="F45" i="22" s="1"/>
  <c r="G45" i="22" s="1"/>
  <c r="H45" i="22" s="1"/>
  <c r="I45" i="22" s="1"/>
  <c r="J45" i="22" s="1"/>
  <c r="J5" i="19"/>
  <c r="C13" i="32" l="1"/>
  <c r="C15" i="32" s="1"/>
  <c r="D13" i="32"/>
  <c r="D17" i="32"/>
  <c r="E13" i="32"/>
  <c r="G17" i="32"/>
  <c r="F13" i="32"/>
  <c r="E21" i="32"/>
  <c r="C17" i="32"/>
  <c r="C19" i="32" s="1"/>
  <c r="E17" i="32"/>
  <c r="F17" i="32"/>
  <c r="H17" i="32"/>
  <c r="I17" i="32"/>
  <c r="C21" i="32"/>
  <c r="G13" i="32"/>
  <c r="D21" i="32"/>
  <c r="C23" i="32"/>
  <c r="H13" i="32"/>
  <c r="F21" i="32"/>
  <c r="I13" i="32"/>
  <c r="J13" i="32"/>
  <c r="J17" i="32"/>
  <c r="I21" i="32"/>
  <c r="H21" i="32"/>
  <c r="J21" i="32"/>
  <c r="G21" i="32"/>
  <c r="C40" i="32"/>
  <c r="D40" i="32"/>
  <c r="E40" i="32"/>
  <c r="F40" i="32"/>
  <c r="G40" i="32"/>
  <c r="H40" i="32"/>
  <c r="I40" i="32"/>
  <c r="C36" i="32"/>
  <c r="D36" i="32"/>
  <c r="E36" i="32"/>
  <c r="F36" i="32"/>
  <c r="G36" i="32"/>
  <c r="H36" i="32"/>
  <c r="I36" i="32"/>
  <c r="I44" i="32"/>
  <c r="H44" i="32"/>
  <c r="G44" i="32"/>
  <c r="F44" i="32"/>
  <c r="E44" i="32"/>
  <c r="D44" i="32"/>
  <c r="C44" i="32"/>
  <c r="D15" i="32" l="1"/>
  <c r="E15" i="32" s="1"/>
  <c r="F15" i="32" s="1"/>
  <c r="G15" i="32" s="1"/>
  <c r="H15" i="32" s="1"/>
  <c r="I15" i="32" s="1"/>
  <c r="J15" i="32" s="1"/>
  <c r="C38" i="32" s="1"/>
  <c r="D38" i="32" s="1"/>
  <c r="E38" i="32" s="1"/>
  <c r="F38" i="32" s="1"/>
  <c r="G38" i="32" s="1"/>
  <c r="H38" i="32" s="1"/>
  <c r="I38" i="32" s="1"/>
  <c r="D19" i="32"/>
  <c r="E19" i="32" s="1"/>
  <c r="F19" i="32" s="1"/>
  <c r="G19" i="32" s="1"/>
  <c r="H19" i="32" s="1"/>
  <c r="I19" i="32" s="1"/>
  <c r="J19" i="32" s="1"/>
  <c r="C42" i="32" s="1"/>
  <c r="D42" i="32" s="1"/>
  <c r="E42" i="32" s="1"/>
  <c r="F42" i="32" s="1"/>
  <c r="G42" i="32" s="1"/>
  <c r="H42" i="32" s="1"/>
  <c r="I42" i="32" s="1"/>
  <c r="D23" i="32"/>
  <c r="E23" i="32" s="1"/>
  <c r="F23" i="32" s="1"/>
  <c r="G23" i="32" s="1"/>
  <c r="H23" i="32" s="1"/>
  <c r="I23" i="32" s="1"/>
  <c r="J23" i="32" s="1"/>
  <c r="C46" i="32" s="1"/>
  <c r="D46" i="32" s="1"/>
  <c r="E46" i="32" s="1"/>
  <c r="F46" i="32" s="1"/>
  <c r="G46" i="32" s="1"/>
  <c r="H46" i="32" s="1"/>
  <c r="I46" i="32" s="1"/>
</calcChain>
</file>

<file path=xl/sharedStrings.xml><?xml version="1.0" encoding="utf-8"?>
<sst xmlns="http://schemas.openxmlformats.org/spreadsheetml/2006/main" count="1350" uniqueCount="530">
  <si>
    <t>COMPOSIÇÃO DE PREÇOS</t>
  </si>
  <si>
    <r>
      <rPr>
        <b/>
        <sz val="12"/>
        <color rgb="FF000000"/>
        <rFont val="Arial"/>
        <family val="2"/>
      </rPr>
      <t>CONTRATAÇÃO DE EMPRESA PARA FORNECIMENTO DE MÃO DE OBRA PARA IMPLANTAÇÃO DE PROJETOS HIDROAMBIENTAIS NA BACIA HIDROGRÁFICA DO RIO DOCE – INICIATIVA RIO VIVO, TENDO COMO REFERÊNCIA O PROGRAMA 16 – PROTEÇÃO E CONSERVAÇÃO DOS RECURSOS HÍDRICOS NO LOTE 3 – CH DO3 SANTO ANTÔNIO E LOTE 5 – CH DO5 CARATINGA.</t>
    </r>
    <r>
      <rPr>
        <sz val="12"/>
        <color rgb="FF000000"/>
        <rFont val="Arial"/>
        <family val="2"/>
      </rPr>
      <t> </t>
    </r>
  </si>
  <si>
    <t>Nome da Empresa</t>
  </si>
  <si>
    <t>Cidade, data</t>
  </si>
  <si>
    <t>PAINEL 2 - COMPOSIÇÃO DE CUSTOS | LOTE 2 CH DO2 PIRACICABA</t>
  </si>
  <si>
    <t>CUSTOS FIXOS POR EQUIPE</t>
  </si>
  <si>
    <t>ITEM</t>
  </si>
  <si>
    <t>CÓDIGO</t>
  </si>
  <si>
    <t>FONTE</t>
  </si>
  <si>
    <t>DATA BASE</t>
  </si>
  <si>
    <t>DESCRIÇÃO</t>
  </si>
  <si>
    <t>CUSTO MENSAL</t>
  </si>
  <si>
    <t>UN.</t>
  </si>
  <si>
    <t>QUANT.</t>
  </si>
  <si>
    <t>CUSTO TOTAL</t>
  </si>
  <si>
    <t>PESO (%)</t>
  </si>
  <si>
    <t>EQUIPE PERMANENTE</t>
  </si>
  <si>
    <t>Com K1</t>
  </si>
  <si>
    <t>1.1</t>
  </si>
  <si>
    <t>Coordenador</t>
  </si>
  <si>
    <t>Mês</t>
  </si>
  <si>
    <t>1.2</t>
  </si>
  <si>
    <t>Mobizador Social</t>
  </si>
  <si>
    <t>1.3</t>
  </si>
  <si>
    <t>Técnico Ambiental</t>
  </si>
  <si>
    <t>1.4</t>
  </si>
  <si>
    <t>Auxiliar Administrativo</t>
  </si>
  <si>
    <t>1.5</t>
  </si>
  <si>
    <t>Encarregado Operacional</t>
  </si>
  <si>
    <t>1.6</t>
  </si>
  <si>
    <t>Motorista</t>
  </si>
  <si>
    <t>1.8</t>
  </si>
  <si>
    <t>Carpinteiro</t>
  </si>
  <si>
    <t>1.9</t>
  </si>
  <si>
    <t>Ajudante</t>
  </si>
  <si>
    <t>DESPESAS DIVERSAS</t>
  </si>
  <si>
    <t>Com K4</t>
  </si>
  <si>
    <t>2.1</t>
  </si>
  <si>
    <t>Caminhonete 4x4 cabine dupla</t>
  </si>
  <si>
    <t>2.2</t>
  </si>
  <si>
    <t>Caminhão toco com cabine suplementar</t>
  </si>
  <si>
    <t>2.4</t>
  </si>
  <si>
    <t>Compactador de solos</t>
  </si>
  <si>
    <t>2.5</t>
  </si>
  <si>
    <t xml:space="preserve"> -</t>
  </si>
  <si>
    <t>COMPOSIÇÃO</t>
  </si>
  <si>
    <t>Óleo Diesel S10</t>
  </si>
  <si>
    <t>2.6</t>
  </si>
  <si>
    <t>Óleo Diesel S500</t>
  </si>
  <si>
    <t>CUSTO FIXO TOTAL POR EQUIPE</t>
  </si>
  <si>
    <t>NÚMERO DE EQUIPES</t>
  </si>
  <si>
    <t>-</t>
  </si>
  <si>
    <t>CUSTO FIXO TOTAL</t>
  </si>
  <si>
    <t>CUSTOS VARIÁVEIS POR EQUIPE</t>
  </si>
  <si>
    <t>ÓRGÃO</t>
  </si>
  <si>
    <t>CUSTO UNITÁRIO</t>
  </si>
  <si>
    <t>SERVIÇOS TÉCNICOS</t>
  </si>
  <si>
    <t>Com K3</t>
  </si>
  <si>
    <t>3.1</t>
  </si>
  <si>
    <t>Técnico em Geoprocessamento</t>
  </si>
  <si>
    <t>hora</t>
  </si>
  <si>
    <t>3.2</t>
  </si>
  <si>
    <t>Alocação de equipe de topografia básica (inclui equipe composta por um engenheiro e auxiliar de topografia; equipamentos: estação total, rádio comunicador e equipamentos complementares; mobilização e desmobilização; hospedagem e alimentação)</t>
  </si>
  <si>
    <t>diária</t>
  </si>
  <si>
    <t>3.3</t>
  </si>
  <si>
    <t>Execução de Filmagem com Drone</t>
  </si>
  <si>
    <t>4.2</t>
  </si>
  <si>
    <t>SINAPI</t>
  </si>
  <si>
    <t>Locação de Trator</t>
  </si>
  <si>
    <t>4.3</t>
  </si>
  <si>
    <t>Impressão preto e branco</t>
  </si>
  <si>
    <t>unidade</t>
  </si>
  <si>
    <t>4.4</t>
  </si>
  <si>
    <t>Diárias</t>
  </si>
  <si>
    <t>4.5</t>
  </si>
  <si>
    <t>Refeições</t>
  </si>
  <si>
    <t>CUSTO VARIÁVEL TOTAL POR EQUIPE</t>
  </si>
  <si>
    <t>CUSTO VARIÁVEL TOTAL</t>
  </si>
  <si>
    <t>CUSTO TOTAL DO PROJETO</t>
  </si>
  <si>
    <t>Mobilizador Social</t>
  </si>
  <si>
    <t>1.7</t>
  </si>
  <si>
    <t>Perfurador de solos</t>
  </si>
  <si>
    <t>un.</t>
  </si>
  <si>
    <t>2.7</t>
  </si>
  <si>
    <t>Gasolina</t>
  </si>
  <si>
    <t>Técnico em Geprocessamento</t>
  </si>
  <si>
    <t>4.1</t>
  </si>
  <si>
    <t>Locação de trator</t>
  </si>
  <si>
    <t>ETAPA</t>
  </si>
  <si>
    <t>ATIVIDADE</t>
  </si>
  <si>
    <t>ETAPA A</t>
  </si>
  <si>
    <t>ETAPA B</t>
  </si>
  <si>
    <t>MÊS 1</t>
  </si>
  <si>
    <t>MÊS 2</t>
  </si>
  <si>
    <t>MÊS 3</t>
  </si>
  <si>
    <t>MÊS 4</t>
  </si>
  <si>
    <t>MÊS 5</t>
  </si>
  <si>
    <t>MÊS 6</t>
  </si>
  <si>
    <t>MÊS 7</t>
  </si>
  <si>
    <t>MÊS 8</t>
  </si>
  <si>
    <t>A</t>
  </si>
  <si>
    <t>Emissão da OS</t>
  </si>
  <si>
    <t>Recomposição das UGPs</t>
  </si>
  <si>
    <t>Planejamento</t>
  </si>
  <si>
    <t>P1</t>
  </si>
  <si>
    <t>P1 Ajustado</t>
  </si>
  <si>
    <t>B</t>
  </si>
  <si>
    <t>Emissão da OS**</t>
  </si>
  <si>
    <t>Mobilização Social</t>
  </si>
  <si>
    <t>P2</t>
  </si>
  <si>
    <t>Execução das Intervenções</t>
  </si>
  <si>
    <t>P3</t>
  </si>
  <si>
    <t>C</t>
  </si>
  <si>
    <t>Fiscalização</t>
  </si>
  <si>
    <t>CUSTOS FIXOS</t>
  </si>
  <si>
    <t>MENSAL</t>
  </si>
  <si>
    <t>% em relação ao total</t>
  </si>
  <si>
    <t>ACUMULADO</t>
  </si>
  <si>
    <t>% acumulado</t>
  </si>
  <si>
    <t>CUSTOS VARIÁVEIS*</t>
  </si>
  <si>
    <t xml:space="preserve">MENSAL </t>
  </si>
  <si>
    <t>TOTAL</t>
  </si>
  <si>
    <t>MÊS 9</t>
  </si>
  <si>
    <t>MÊS 10</t>
  </si>
  <si>
    <t>MÊS 11</t>
  </si>
  <si>
    <t>MÊS 12</t>
  </si>
  <si>
    <t>MÊS 13</t>
  </si>
  <si>
    <t>MÊS 14</t>
  </si>
  <si>
    <t>MÊS 15</t>
  </si>
  <si>
    <t>MÊS 16</t>
  </si>
  <si>
    <t>MÊS 17</t>
  </si>
  <si>
    <t>Encerramento contratual</t>
  </si>
  <si>
    <t>Relatório Final do Contrato</t>
  </si>
  <si>
    <t>P4</t>
  </si>
  <si>
    <t>*O uso dos custos variáveis deverá ser previamente solicitado pela CONTRATADA e autorizado pela AGEDOCE. Desse modo, durante o projeto, o desembolso desses custos poderá ser alterado.</t>
  </si>
  <si>
    <t>PAINEL 3 - CRONOGRAMA FÍSICO-FINANCEIRO | LOTE 2 CH DO2 PIRACICABA</t>
  </si>
  <si>
    <t>PAINEL 3 - EQUIPE PERMANENTE</t>
  </si>
  <si>
    <t>Item</t>
  </si>
  <si>
    <t>Profissional</t>
  </si>
  <si>
    <t>Encarregado</t>
  </si>
  <si>
    <t>Código</t>
  </si>
  <si>
    <t>Fonte</t>
  </si>
  <si>
    <t>Data Base</t>
  </si>
  <si>
    <t>Salário</t>
  </si>
  <si>
    <t>ENCARGOS</t>
  </si>
  <si>
    <t>ENCARGOS SOCIAIS</t>
  </si>
  <si>
    <t>%</t>
  </si>
  <si>
    <t>R$</t>
  </si>
  <si>
    <t>5.1</t>
  </si>
  <si>
    <t>GRUPO A - ENCARGOS SOCIAIS SOBRE A FOLHA DE PAGAMENTO</t>
  </si>
  <si>
    <t>5.1.1</t>
  </si>
  <si>
    <t>Instituto Nacional de Securidade Social - INSS</t>
  </si>
  <si>
    <t>5.1.2</t>
  </si>
  <si>
    <t>Serviço Social da Indústria - SESI</t>
  </si>
  <si>
    <t>5.1.3</t>
  </si>
  <si>
    <t>Serviço Nacional de Aprendizagem Industrial - SENAI</t>
  </si>
  <si>
    <t>5.1.4</t>
  </si>
  <si>
    <t>Instituto Nacional de Colonização e Reforma Agrária - INCRA</t>
  </si>
  <si>
    <t>5.1.5</t>
  </si>
  <si>
    <t>Serviço de Apoio a Pequena e Média Empresa - SEBRAE</t>
  </si>
  <si>
    <t>5.1.6</t>
  </si>
  <si>
    <t>Salário Educação</t>
  </si>
  <si>
    <t>5.1.7</t>
  </si>
  <si>
    <t>Seguro contra os Riscos de Acidente de Trabalho</t>
  </si>
  <si>
    <t>5.1.8</t>
  </si>
  <si>
    <t>Fundo de Garantia por Tempo de Serviço - FGTS</t>
  </si>
  <si>
    <t>5.1.9</t>
  </si>
  <si>
    <t>Serviço Social da Construção Civil do Estado de Minas Gerais - SECONCI</t>
  </si>
  <si>
    <t>5.2</t>
  </si>
  <si>
    <t>GRUPO B</t>
  </si>
  <si>
    <t>5.2.1</t>
  </si>
  <si>
    <t>Auxílio enfermidade</t>
  </si>
  <si>
    <t>5.2.2</t>
  </si>
  <si>
    <t>Décimo terceiro salário</t>
  </si>
  <si>
    <t>5.2.3</t>
  </si>
  <si>
    <t>Licença paternidade</t>
  </si>
  <si>
    <t>5.2.4</t>
  </si>
  <si>
    <t>Faltas justificadas</t>
  </si>
  <si>
    <t>5.2.5</t>
  </si>
  <si>
    <t>Auxílio acidente de trabalho</t>
  </si>
  <si>
    <t>5.2.6</t>
  </si>
  <si>
    <t>Férias gozadas</t>
  </si>
  <si>
    <t>5.2.7</t>
  </si>
  <si>
    <t>Salário Maternidade</t>
  </si>
  <si>
    <t>5.3</t>
  </si>
  <si>
    <t xml:space="preserve">GRUPO C - ENCARGOS DE DEMISSÃO </t>
  </si>
  <si>
    <t>5.3.1</t>
  </si>
  <si>
    <t>Aviso prévio indenizado</t>
  </si>
  <si>
    <t>5.3.2</t>
  </si>
  <si>
    <t>Aviso prévio trabalhado</t>
  </si>
  <si>
    <t>5.3.3</t>
  </si>
  <si>
    <t>Férias indenizadas</t>
  </si>
  <si>
    <t>5.3.4</t>
  </si>
  <si>
    <t>Depósito rescisão sem justa causa</t>
  </si>
  <si>
    <t>5.3.5</t>
  </si>
  <si>
    <t>Indenização adicional</t>
  </si>
  <si>
    <t>5.4</t>
  </si>
  <si>
    <t>GRUPO D - REINCIDÊNCIAS</t>
  </si>
  <si>
    <t>5.4.1</t>
  </si>
  <si>
    <t>Reincidência do Grupo A sobre o Grupo B</t>
  </si>
  <si>
    <t>5.4.2</t>
  </si>
  <si>
    <t>Reincidência do Grupo A sobre aviso prévio trabalhado e reincidência do FGTS sobre aviso prévio indenizado</t>
  </si>
  <si>
    <t>TOTAL DE ENCARGOS SOCIAIS</t>
  </si>
  <si>
    <t>ENCARGOS COMPLEMENTARES</t>
  </si>
  <si>
    <t>6.1</t>
  </si>
  <si>
    <t>Alimentação</t>
  </si>
  <si>
    <t>6.2</t>
  </si>
  <si>
    <t>Transportes - Vale transporte</t>
  </si>
  <si>
    <t>6.3</t>
  </si>
  <si>
    <t xml:space="preserve">Equipamento de Proteção Individual – EPI </t>
  </si>
  <si>
    <t>6.4</t>
  </si>
  <si>
    <t>Ferramentas</t>
  </si>
  <si>
    <t>6.5</t>
  </si>
  <si>
    <t>Exames médicos</t>
  </si>
  <si>
    <t>6.7</t>
  </si>
  <si>
    <t>Seguro de vida</t>
  </si>
  <si>
    <t>TOTAL DE ENCARGOS COMPLEMENTARES</t>
  </si>
  <si>
    <t>ENCARGOS SOCIAIS + ENCARGOS COMPLEMENTARES</t>
  </si>
  <si>
    <t>FATOR K</t>
  </si>
  <si>
    <t>ES1 - ENCARGOS SOCIAIS</t>
  </si>
  <si>
    <t>ESA - ENCARGOS SOCIAIS SOBRE RPA</t>
  </si>
  <si>
    <t>ARDF - ADMINISTRAÇÃO, RISCO E DESPESAS FINANCEIRAS</t>
  </si>
  <si>
    <t>L - LUCRO</t>
  </si>
  <si>
    <t>DFL - DESPESAS FISCAIS LEGAIS
DFL=(PIS+COFINS+ISS)/(1-PIS+COFINS+ISS)</t>
  </si>
  <si>
    <t>PIS + COFINS + ISS</t>
  </si>
  <si>
    <t xml:space="preserve">PIS </t>
  </si>
  <si>
    <t>COFINS</t>
  </si>
  <si>
    <t>ISS</t>
  </si>
  <si>
    <t>FATOR K1 = [(1+ES+ARDF)*(1+L)*(1+DFL)]</t>
  </si>
  <si>
    <t>VALOR ADOTADO</t>
  </si>
  <si>
    <t>PAINEL 4 - ENCARGOS SOCIAIS</t>
  </si>
  <si>
    <t>GRUPO</t>
  </si>
  <si>
    <t>DEFINIÇÕES</t>
  </si>
  <si>
    <t>A1</t>
  </si>
  <si>
    <t>A2</t>
  </si>
  <si>
    <t>A3</t>
  </si>
  <si>
    <t>SERVIÇO Nacional de Aprendizagem Industrial - SENAI</t>
  </si>
  <si>
    <t>A4</t>
  </si>
  <si>
    <t>A5</t>
  </si>
  <si>
    <t>A6</t>
  </si>
  <si>
    <t>A7</t>
  </si>
  <si>
    <t>A8</t>
  </si>
  <si>
    <t>A9</t>
  </si>
  <si>
    <t>B3</t>
  </si>
  <si>
    <t>B4</t>
  </si>
  <si>
    <t>B5</t>
  </si>
  <si>
    <t>B6</t>
  </si>
  <si>
    <t>B8</t>
  </si>
  <si>
    <t>B9</t>
  </si>
  <si>
    <t>B10</t>
  </si>
  <si>
    <t>C1</t>
  </si>
  <si>
    <t>C2</t>
  </si>
  <si>
    <t>C3</t>
  </si>
  <si>
    <t>C4</t>
  </si>
  <si>
    <t>C5</t>
  </si>
  <si>
    <t>D1</t>
  </si>
  <si>
    <t>D2</t>
  </si>
  <si>
    <t>Reincidência do Grupo A sobre Aviso Prévio Trabalhado e Reincidência do FGTS sobre Aviso Prévio Indenizado</t>
  </si>
  <si>
    <t>ENCARGOS SOCIAIS TOTAIS</t>
  </si>
  <si>
    <t>PAINEL 5 - DESPESAS DIVERSAS I</t>
  </si>
  <si>
    <t>COMPOSIÇÃO DO VALOR FINAL DOS EQUIPAMENTOS *</t>
  </si>
  <si>
    <t>Equipamento</t>
  </si>
  <si>
    <t>Caminhonete 4x4 Cabine Dupla</t>
  </si>
  <si>
    <t>Caminhão Toco com Cabine Suplementar</t>
  </si>
  <si>
    <t>Perfurador de Solos</t>
  </si>
  <si>
    <t>Valor</t>
  </si>
  <si>
    <t>Fator K4</t>
  </si>
  <si>
    <t>PAINEL 9 - DESPESAS DIVERSAS I</t>
  </si>
  <si>
    <t>COMPOSIÇÃO DE EQUIPAMENTOS</t>
  </si>
  <si>
    <t>Caminhão Toco com Cabine Suplementar equipado com Guindauto</t>
  </si>
  <si>
    <t>Compactador de Solos</t>
  </si>
  <si>
    <t>2.3</t>
  </si>
  <si>
    <t>Subitem 1</t>
  </si>
  <si>
    <t>Caminhonete com motor a diesel, potencia 160 CV, cabine dupla, 4x4</t>
  </si>
  <si>
    <t>Caminhão toco peso bruto total 13200 kg, carga útil máxima 9.200 kg, distância entre eixos 3,31m, potência 175 CV (inclui cabine e chassi, não inclui carroceria)</t>
  </si>
  <si>
    <t>Compactador de solo a percussão (soquete), a gasolina 4 tempos, peso 55 a 65 kg, força de impacto 1.000 a 1.500 kgf, freq. 600 a 700 golpes por minuto, velocidade de trabalho de 10 a 15 m/min, pot. De 2 a 3 HP.</t>
  </si>
  <si>
    <t>Subitem 2</t>
  </si>
  <si>
    <t>Carroceria fixa aberta de madeira para transporte geral de carga seca dimensões aproximadas 2,25 x 4,10 x 0,50 m (inclui montagem, não inclui caminhão)</t>
  </si>
  <si>
    <t>Subitem 3</t>
  </si>
  <si>
    <t>Cabine para transporte de passageiros (06 lugares)</t>
  </si>
  <si>
    <t>Cabine para transporte de passageiros, em alumínio com 
isolamento em isopor, 1000x2000x1600mm</t>
  </si>
  <si>
    <t>Cotação de mercado</t>
  </si>
  <si>
    <t>COPASA</t>
  </si>
  <si>
    <t>Subitem 4</t>
  </si>
  <si>
    <t>Guindauto hidraulico, capacidade maxima de carga 8500 kg, momento maximo de carga 30,4 tm , alcance maximo horizontal 14,30 m, para montagem sobre chassi de caminhao pbt minimo 23000 kg (inclui montagem, nao inclui caminhao)</t>
  </si>
  <si>
    <t>VALOR TOTAL</t>
  </si>
  <si>
    <t>SIMULAÇÃO DE INVESTIMENTO PARA AQUISIÇÃO DO EQUIPAMENTO (FINANCIAMENTO TABELA PRICE*)</t>
  </si>
  <si>
    <t>Situação</t>
  </si>
  <si>
    <t>Nova</t>
  </si>
  <si>
    <t>Custo</t>
  </si>
  <si>
    <t>Parcelas</t>
  </si>
  <si>
    <t>Taxa de Juros</t>
  </si>
  <si>
    <t>Projeção Anual</t>
  </si>
  <si>
    <t>VALOR MENSAL</t>
  </si>
  <si>
    <t>*www.calculador.com.br/calculo/financiamento-price</t>
  </si>
  <si>
    <t>COMPOSIÇÃO CONSIDERANDO CARGA HORÁRIA PRODUTIVA E IMPRODUTIVA - SINAPI</t>
  </si>
  <si>
    <t>MEMÓRIA DE CÁLCULO DOS PARÂMETROS*</t>
  </si>
  <si>
    <t>Depreciação</t>
  </si>
  <si>
    <r>
      <t xml:space="preserve">(Valor de aquisição - Valor residual) </t>
    </r>
    <r>
      <rPr>
        <sz val="8"/>
        <rFont val="Aptos Narrow"/>
        <family val="2"/>
      </rPr>
      <t>÷</t>
    </r>
    <r>
      <rPr>
        <sz val="8"/>
        <rFont val="Arial"/>
        <family val="2"/>
      </rPr>
      <t xml:space="preserve"> (Vida útil * Horas trabalhadas por ano * 1,25)</t>
    </r>
  </si>
  <si>
    <t>Juros</t>
  </si>
  <si>
    <t>(Valor médio * Taxa de juros anuais) ÷ (Horas trabalhadas por ano * 1,25)   |  Valor médio = (Vida útil + 1) * Valor de aquisição ÷ (2 * Vida útil) | Taxa de juros anuais = 3,1501%</t>
  </si>
  <si>
    <t>Impostos e Seguros</t>
  </si>
  <si>
    <t>(Vida útil + 1) * Valor de aquisição * Taxa média adotada ÷ (2 * Vida útil * Horas trabalhadas por ano * 1,25)    |    Taxa média adotada = 0,025</t>
  </si>
  <si>
    <t>Manutenção</t>
  </si>
  <si>
    <t>(Valor de aquisição * Coeficiente de manutenção) / (Horas trabalhadas por ano * vida útil em anos)</t>
  </si>
  <si>
    <t>Custo de Operação (somente filtros e lubrificantes)**</t>
  </si>
  <si>
    <t>(Potência do motor em KW * Coeficiente de consumo * Valor do combustível)      |     1 KW = 1,3587 CV, logo 160 CV = 117,7596 KW e 175 CV=128,7996</t>
  </si>
  <si>
    <t>Custo horário produtivo</t>
  </si>
  <si>
    <t>(Depreciação + Juros + Impostos e Seguros + Manutenção + Custo de Operação)</t>
  </si>
  <si>
    <t>Custo horário improdutivo</t>
  </si>
  <si>
    <t>(Depreciação + Juros + Impostos e Seguros)</t>
  </si>
  <si>
    <t>(Custo horário produtivo * 166,66) + (Custo horário improdutivo * 33,33)</t>
  </si>
  <si>
    <t>Vida útil (anos)</t>
  </si>
  <si>
    <t>Horas Trabalhadas no Ano (HTA)</t>
  </si>
  <si>
    <t>Valor Residual</t>
  </si>
  <si>
    <t>Coeficiente de Manutenção</t>
  </si>
  <si>
    <t>Coeficiente de Consumo</t>
  </si>
  <si>
    <t>Coeficiente de Consumo ajustado**</t>
  </si>
  <si>
    <t>DNIT</t>
  </si>
  <si>
    <t>E9684</t>
  </si>
  <si>
    <t>E9308</t>
  </si>
  <si>
    <t>E9107</t>
  </si>
  <si>
    <t>Valor Médio</t>
  </si>
  <si>
    <t>Custo de Operação (somente filtros e lubrificantes)</t>
  </si>
  <si>
    <t>* Cálculo realizado de acordo com os Cadernos SINAPI: Metodologias e Conceitos e SINAPI: Cálculos e Parâmetros.  |   ** O Cálculo do custo de operação, conforme orientações do SINAPI, deve ser calculado com base na metodologia do DNIT. De acordo com o Manual de Custos de Infraestruturas de Transportes - Volume 01: Metodologias e Conceitos do DNIT, o custo com filtros, lubrificantes e graxas de caminhões movidos a óleo diesel geralmente representa 10% sobre o consumo de combustível. Por esta razão, realizou-se o ajuste do coeficiente de consumo para 10% do valor original especificado no DNIT. Isto foi realizado, tendo em vista que o consumo de combustível já foi calculado a parte.</t>
  </si>
  <si>
    <t>COMPOSIÇÃO DO VALOR FINAL DOS EQUIPAMENTOS</t>
  </si>
  <si>
    <t>Simulação de Investimento</t>
  </si>
  <si>
    <t>Composição utilizando Custo Horário</t>
  </si>
  <si>
    <t>APLICAR ENGENHARIA LTDA - LOTE 7*</t>
  </si>
  <si>
    <t>W2 ENGENHARIA LTDA - LOTE 6*</t>
  </si>
  <si>
    <t>APLICAR ENGENHARIA LTDA - LOTE 4*</t>
  </si>
  <si>
    <t>Não se aplica</t>
  </si>
  <si>
    <t>Média Aritmética</t>
  </si>
  <si>
    <t>*Composição realizada com base nas propostas de preço apresentadas no Ato Convocatório nº 13/2023</t>
  </si>
  <si>
    <t>**Na composição do valor do compactador de solos, o valor R$ 1.020,04 (composição com base no custo horário produtivo e improdutivo foi desconsiderado, por estar distoante dos demais valores encontrados</t>
  </si>
  <si>
    <t>*Composição realizada com base na proposta de preço apresentada pela empresa vencedora no Lote 7 do Ato Convocatório nº 13/2023</t>
  </si>
  <si>
    <t>**Composição realizada com base na proposta de preço apresentada pela empresa vencedora no Lote 6 do Ato Convocatório nº 13/2023</t>
  </si>
  <si>
    <t>***Composição realizada com base na proposta de preço apresentada pela empresa vencedora no Lote 4 do Ato Convocatório nº 16/2022</t>
  </si>
  <si>
    <t>****Na composição do valor do compactador de solos, o valor R$ 1.020,04 (composição com base no custo horário produtivo e improdutivo) foi desconsiderado, por estar distoante dos demais valores encontrados</t>
  </si>
  <si>
    <t>PAINEL 6 - DESPESAS DIVERSAS II</t>
  </si>
  <si>
    <t>VALOR MENSAL PREVISTO DE COMBUSTÍVEL</t>
  </si>
  <si>
    <t>Tipo de combustível</t>
  </si>
  <si>
    <t>Valor mensal previsto</t>
  </si>
  <si>
    <t>Descrição</t>
  </si>
  <si>
    <t>Valor Unitário (h)</t>
  </si>
  <si>
    <t>VALOR PARA IMPRESSÃO PRETO E BRANCO</t>
  </si>
  <si>
    <t>valor Unitário</t>
  </si>
  <si>
    <t>VALOR DAS DIÁRIAS E REFEIÇÕES DA EQUIPE</t>
  </si>
  <si>
    <t>Valor Unitário</t>
  </si>
  <si>
    <t>PAINEL 7 - SERVIÇOS TÉCNICOS</t>
  </si>
  <si>
    <t>DEFINIÇÃO DO VALOR ADOTADO PARA OS SERVIÇOS TÉCNICOS</t>
  </si>
  <si>
    <t>VALOR UNITÁRIO</t>
  </si>
  <si>
    <t>FATOR K3</t>
  </si>
  <si>
    <t>VALOR FINAL</t>
  </si>
  <si>
    <t xml:space="preserve">Alocação de equipe básica de topografia, limitada a 7 (sete) dias </t>
  </si>
  <si>
    <t>PAINEL 8 - CÁLCULO DO K DO PROJETO</t>
  </si>
  <si>
    <t>DETALHAMENTO DO FATOR K</t>
  </si>
  <si>
    <t>ES1 - Encargos Sociais</t>
  </si>
  <si>
    <t>ES2 - Encargos Complementares*</t>
  </si>
  <si>
    <t>ES - Encargos Sociais + Encargos Complementares</t>
  </si>
  <si>
    <t>ESA - Equipe Temporária</t>
  </si>
  <si>
    <t>ARDF - Administração, Risco e Despesas Financeiras</t>
  </si>
  <si>
    <t>L - Lucro</t>
  </si>
  <si>
    <r>
      <t>DFL - Despesas Fiscais e Legais | DFL=(PIS+COFINS+ISS)</t>
    </r>
    <r>
      <rPr>
        <sz val="9"/>
        <color theme="1" tint="0.14999847407452621"/>
        <rFont val="Aptos Narrow"/>
        <family val="2"/>
      </rPr>
      <t>÷</t>
    </r>
    <r>
      <rPr>
        <sz val="9"/>
        <color theme="1" tint="0.14999847407452621"/>
        <rFont val="Arial"/>
        <family val="2"/>
      </rPr>
      <t>(1-PIS+COFINS+ISS)</t>
    </r>
  </si>
  <si>
    <t>K1</t>
  </si>
  <si>
    <t>MÃO DE OBRA - EQUIPE PERMANENTE</t>
  </si>
  <si>
    <t>K1 = [(1+ES+ARDF)*(1+L)*(1+DFL)]</t>
  </si>
  <si>
    <t>K2</t>
  </si>
  <si>
    <t>MÃO DE OBRA - EQUIPE TEMPORÁRIA</t>
  </si>
  <si>
    <t>K2 = [(1+ESA+ARDF)*(1+L)*(1+DFL)]</t>
  </si>
  <si>
    <t>K3</t>
  </si>
  <si>
    <t>SERVIÇOS TÉCNICOS E DE APOIO</t>
  </si>
  <si>
    <t>K3 = [(1+ARDF)*(1+L)*(1+DFL)]</t>
  </si>
  <si>
    <t>K4</t>
  </si>
  <si>
    <t>DESPESAS DIRETAS</t>
  </si>
  <si>
    <t>K4 = (1+L)*(1+DFL)</t>
  </si>
  <si>
    <t>*Os encargos complementares e, consequentemente, o FATOR K1 serão definidos de maneira específica para cada profissional da equipe.</t>
  </si>
  <si>
    <t>QUADRO COMPARATIVO DA COMPOSIÇÃO DO BDI E FATOR K</t>
  </si>
  <si>
    <t>TIPO DE OBRA DO EMPREENDIMENTO</t>
  </si>
  <si>
    <t>DESONERAÇÃO</t>
  </si>
  <si>
    <t>CONSTRUÇÃO DE REDES DE ABASTECIMENTO DE ÁGUA, COLETA DE ESGOTO E CONSTRUÇÕES CORRELATAS</t>
  </si>
  <si>
    <t>NÃO</t>
  </si>
  <si>
    <t>Conforme legislação tributária municipal, definir estimativa de percentual da base de cálculo para o ISS:</t>
  </si>
  <si>
    <t>Sobre a base de cálculo, definir a respectiva alíquota do ISS (entre 2% e 5%):</t>
  </si>
  <si>
    <t>ITENS</t>
  </si>
  <si>
    <t>SIGLAS</t>
  </si>
  <si>
    <t>% ADOTADO</t>
  </si>
  <si>
    <t>% MODIFICADO</t>
  </si>
  <si>
    <t>SITUAÇÃO</t>
  </si>
  <si>
    <t>INTERVALO DE ADMISSIBILIDADE</t>
  </si>
  <si>
    <t>1º Quartil</t>
  </si>
  <si>
    <t>Médio</t>
  </si>
  <si>
    <t>3º Quartil</t>
  </si>
  <si>
    <t>Administração Central</t>
  </si>
  <si>
    <t>AC</t>
  </si>
  <si>
    <t>Seguro e Garantia</t>
  </si>
  <si>
    <t>SG</t>
  </si>
  <si>
    <t>Risco</t>
  </si>
  <si>
    <t>R</t>
  </si>
  <si>
    <t>Despesas Financeiras</t>
  </si>
  <si>
    <t>DF</t>
  </si>
  <si>
    <t>Lucro</t>
  </si>
  <si>
    <t>L</t>
  </si>
  <si>
    <t>Tributos (impostos COFINS 3%, e  PIS 0,65%)</t>
  </si>
  <si>
    <t>CP</t>
  </si>
  <si>
    <t>Tributos (ISS, variável de acordo com o município)</t>
  </si>
  <si>
    <t>Tributos (Contribuição Previdenciária - 0% ou 4,5%, conforme Lei 12.844/2013 - Desoneração)</t>
  </si>
  <si>
    <t>CPRB</t>
  </si>
  <si>
    <t>BDI SEM desoneração (Fórmula Acórdão TCU)</t>
  </si>
  <si>
    <t>BDI PAD</t>
  </si>
  <si>
    <t>BDI COM desoneração</t>
  </si>
  <si>
    <t>BDI DES</t>
  </si>
  <si>
    <t>ARDF</t>
  </si>
  <si>
    <t>Os valores de referência foram retirados da publicação Orientações para Elaboração de Planilhas Orçamentárias de Obras Públicas, do TCU. Os valores de BDI foram calculados com o emprego da fórmula:</t>
  </si>
  <si>
    <t>(1+AC + S + R + G)*(1 + DF)*(1+L)</t>
  </si>
  <si>
    <t>(1-CP-ISS-CRPB)</t>
  </si>
  <si>
    <t>PAINEL 9 - REFERÊNCIAS</t>
  </si>
  <si>
    <t>DNIT: RELATÓRIO DE CONSOLIDAÇÃO DOS CUSTOS DE MÃO DE OBRA 
Tabela 1 - Consolidação dos custos de mão de obra - Tabela de Preços de Consultoria - mês de referência: janeiro de 2025.</t>
  </si>
  <si>
    <t>SINAPI: Preços de Insumos: Sistema Nacional de Pesquisa de Custos e Índices da Construção Civil / Caixa Econômica Federal. Abril/2025.</t>
  </si>
  <si>
    <t>DNIT: SISTEMA DE CUSTOS REFERENCIAIS DE OBRAS - Caderno Técnico Parâmetros de Equipamentos - SICRO. Janeiro/2025.</t>
  </si>
  <si>
    <t>SINAPI: Cálculos e Parâmetros/ 7° EDIÇÃO/ CAIXA. Junho/2025.</t>
  </si>
  <si>
    <t>DNIT: SISTEMA DE CUSTOS REFERENCIAIS DE OBRAS -Relatório Sintético de Mão de Obra - SICRO. Janeiro/2025.</t>
  </si>
  <si>
    <t>AGÊNCIA NACIONAL DO PETRÓLEO, GÁS NATURAL E BIOCOMBUSTÍVEIS - ANP: Levantamento de Preços de Combustíveis - 25/05/25 a 31/05/2025. 2025.</t>
  </si>
  <si>
    <t>TCU, Acórdão nº 1787, de 06 de julho de 2011. Levantamento de auditoria. FISCOBRAS 2011. barragem Congonhas/MG. Elaboração do plano de controle ambiental.</t>
  </si>
  <si>
    <t>TCU - BRASIL, Tribunal de Contas da União. Orientações para elaboração de planilhas orçamentárias de obras públicas / Tribunal de Contas da União, Coordenação-Geral de Controle Externo da Área de Infraestrutura e da Região Sudeste. Brasília, 2012.</t>
  </si>
  <si>
    <t>SINAPI: Metodologias e Conceitos: Sistema Nacional de Pesquisa de Custos e Índices da Construção Civil / Caixa Econômica Federal. – 9ª Ed. – Brasília: CAIXA, 2023.</t>
  </si>
  <si>
    <t xml:space="preserve">SINAPI: Referências para Custos Horários e Encargos: Sistema Nacional de Pesquisa de Custos e Índices da Construção Civil / Caixa Econômica Federal. – 7ª Ed. – Brasília: CAIXA, 2025. </t>
  </si>
  <si>
    <t>ANA, Portaria nº 363, de 2 de fevereiro de 2021, que estabelece cálculos padronizados para consultoria da Agência Nacional de Águas e Saneamento Básico - ANA e dá outras providências.</t>
  </si>
  <si>
    <t>Brasil, Departamento Nacional de Infraestrutura de Transportes. Diretoria Executiva. Coordenação-Geral de Custos de Infraestrutura de Transportes. Manual de Custos de Infraestrutura de Transportes. 1ª Edição - Brasília, 2017.</t>
  </si>
  <si>
    <t>SINAPI: Custos e Composições Analítico: Sistema Nacional de Pesquisa de Custos e Índices da Construção Civil / Caixa Econômica Federal. Fevereiro de 2024.</t>
  </si>
  <si>
    <t>SINAPI: Cadernos Técnicos de Composições para Transporte, Carga e Descarga de Materiais: Sistema Nacional de Pesquisa de Custos e Índices da Construção Civil / Caixa Econômica Federal. Junho de 2023.</t>
  </si>
  <si>
    <t>PAINEL 8 - ENCARGOS COMPLEMENTARES</t>
  </si>
  <si>
    <t>ALIMENTAÇÃO</t>
  </si>
  <si>
    <t>Obs.</t>
  </si>
  <si>
    <t>ALIMENTAÇÃO (SINAPI)</t>
  </si>
  <si>
    <t>Página 131 do SINAPI: Cálculos e Parâmetros / Caixa Econômica Federal. – 7ª Ed. – Brasília</t>
  </si>
  <si>
    <t>VALE TRANSPORTE</t>
  </si>
  <si>
    <t>Vale Transporte</t>
  </si>
  <si>
    <t>Não se aplica ao Coordenador, Mobilizador Social e Encarregado Operacional, devido à remuneração destes profissionais</t>
  </si>
  <si>
    <t>VALE TRANSPORTE (SINAPI)</t>
  </si>
  <si>
    <t>EQUIPAMENTOS DE PROTEÇÃO INDIVIDUAL</t>
  </si>
  <si>
    <t>Equipamento de Proteção Individual</t>
  </si>
  <si>
    <t>Horas úteis de trabalho no mês (SINAPI)</t>
  </si>
  <si>
    <t>Horas úteis de trabalho no dia (SINAPI)</t>
  </si>
  <si>
    <t>Página 57 do SINAPI (Horas Efetivas de Trabalho por Ano): Cálculos e Parâmetros / Caixa Econômica Federal. – 7ª Ed. – Brasília.</t>
  </si>
  <si>
    <t>ALMOXARIFE  (aplicável para o Mobilizador Social, Técnico Ambiental, Auxiliar Administrativo e Motorista)</t>
  </si>
  <si>
    <t>EPI</t>
  </si>
  <si>
    <t>CUSTO UNITÁRIO (R$)</t>
  </si>
  <si>
    <t>VIDA ÚTIL (DIAS)</t>
  </si>
  <si>
    <t>VIDA ÚTIL (H)</t>
  </si>
  <si>
    <t>COEFICIENTE DE UTILIZAÇÃO (%)</t>
  </si>
  <si>
    <t>CUSTO HORÁRIO (R$)</t>
  </si>
  <si>
    <t>CUSTO MENSAL (R$)</t>
  </si>
  <si>
    <t>Bota de couro de cano curto</t>
  </si>
  <si>
    <t>Capa impermeável</t>
  </si>
  <si>
    <t>Creme de proteção solar FPS 30 - 4l</t>
  </si>
  <si>
    <t>Uniforme comum</t>
  </si>
  <si>
    <t>ENGENHEIRO CIVIL DE OBRA JÚNIOR (aplicável ao Coordenador do Projeto)</t>
  </si>
  <si>
    <t>Uniforme comum (2 Unidades)</t>
  </si>
  <si>
    <t>Cotação</t>
  </si>
  <si>
    <t>Capacete</t>
  </si>
  <si>
    <t>Perneira de raspa</t>
  </si>
  <si>
    <t>CARPINTEIRO DE FORMAS</t>
  </si>
  <si>
    <t>Luvas de raspa cano curto</t>
  </si>
  <si>
    <t>Óculos contra impacto</t>
  </si>
  <si>
    <t xml:space="preserve">ENCARREGADO </t>
  </si>
  <si>
    <t>PEDREIRO</t>
  </si>
  <si>
    <t>Botas de PVC cano médio</t>
  </si>
  <si>
    <t>Luvas de borracha látex cano curto (1)</t>
  </si>
  <si>
    <t>SERVENTE</t>
  </si>
  <si>
    <t>(1) - Nestes itens a vida útil estimada é em dias úteis</t>
  </si>
  <si>
    <t>Cálculo realizado com base nas páginas 57 a 62 do SINAPI: Cálculos e Parâmetros / Caixa Econômica Federal. – 7ª Ed. – Brasília: CAIXA, 2025.</t>
  </si>
  <si>
    <t xml:space="preserve"> FERRAMENTAS</t>
  </si>
  <si>
    <t>Obs.:</t>
  </si>
  <si>
    <t>NÃO SE APLICA para o Mobilizador Social, Técnico Ambiental, Auxiliar Administrativo e Motorista</t>
  </si>
  <si>
    <t>Trena</t>
  </si>
  <si>
    <t>Esquadro 90°x30 cm (12'')</t>
  </si>
  <si>
    <t>Prumo de parede</t>
  </si>
  <si>
    <t>Furadeira de impacto 1/2" - 600W</t>
  </si>
  <si>
    <t>Grampo de aperto rápido 18"</t>
  </si>
  <si>
    <t>Martelo de pedreiro - 1 corte - cabo 20 cm - 1/2 kg</t>
  </si>
  <si>
    <t>Martelo de borracha</t>
  </si>
  <si>
    <t>Nível de bolha - alumínio - 35 cm</t>
  </si>
  <si>
    <t>Serrote 20</t>
  </si>
  <si>
    <t>Alicate diagonal para corte rente 6"</t>
  </si>
  <si>
    <t>Kit Chave de Fenda e Phillips</t>
  </si>
  <si>
    <t>Lápis de carpinteiro</t>
  </si>
  <si>
    <t>Estilete 18 mm</t>
  </si>
  <si>
    <t>Régua de Alumínio - 2m</t>
  </si>
  <si>
    <t>Esquadro 90° x 30 cm (12")</t>
  </si>
  <si>
    <t>Formão chanfrado 1"</t>
  </si>
  <si>
    <t>Martelo de borracha preto 450 g -</t>
  </si>
  <si>
    <t>Prumo de Parede</t>
  </si>
  <si>
    <t>Prumo de Centro</t>
  </si>
  <si>
    <t>Colher de Pedreiro nº 9</t>
  </si>
  <si>
    <t>Desempenadeira Aço Lisa</t>
  </si>
  <si>
    <t>Desempenadeira Aço Dentada</t>
  </si>
  <si>
    <t>Desempenadeira de madeira</t>
  </si>
  <si>
    <t xml:space="preserve">Régua de Alumínio - 2m </t>
  </si>
  <si>
    <t>Esquadro 90° x 30</t>
  </si>
  <si>
    <t>Mangueira de Nível - 20m</t>
  </si>
  <si>
    <t>Linha de Pedreiro 100m</t>
  </si>
  <si>
    <t>Bucha de Espuma</t>
  </si>
  <si>
    <t>Trincha</t>
  </si>
  <si>
    <t>Ponteiro aço liso 3/4" x 10"</t>
  </si>
  <si>
    <t>Talhadeira aço chato 10"</t>
  </si>
  <si>
    <t>Marreta 1/2 kg - cabo de madeira</t>
  </si>
  <si>
    <t>Martelo de borracha preto 450 g</t>
  </si>
  <si>
    <t>Carrinho de Mão</t>
  </si>
  <si>
    <t>Balde 10 L</t>
  </si>
  <si>
    <t>SERVENTE DE OBRA</t>
  </si>
  <si>
    <t>Pá quadrada com cabo de
madeira em Y - 71 cm</t>
  </si>
  <si>
    <t>Carrinho Plataforma em madeira 1500 x 800 mm -Capacidade: 600 kg</t>
  </si>
  <si>
    <t>Alicate Profissional 8''</t>
  </si>
  <si>
    <t>Arco de serra</t>
  </si>
  <si>
    <t>Enxada Estreita</t>
  </si>
  <si>
    <t>Páginas 65 a 72 do SINAPI: Cálculos e Parâmetros / Caixa Econômica Federal. – 7ª Ed. – Brasília: CAIXA, 2025.</t>
  </si>
  <si>
    <t>6.5 EXAMES MÉDICOS</t>
  </si>
  <si>
    <t>jun/2025</t>
  </si>
  <si>
    <t>EXAMES (SINAPI)</t>
  </si>
  <si>
    <t>Página 129 do SINAPI: Cálculos e Parâmetros / Caixa Econômica Federal. – 7ª Ed. – Brasília: CAIXA, 2025.</t>
  </si>
  <si>
    <t>6.6 SEGURO DE VIDA</t>
  </si>
  <si>
    <t>6.6</t>
  </si>
  <si>
    <t>SEGURO DE VIDA (SINAPI)</t>
  </si>
  <si>
    <t>LOTE 5 CH DO 5 CARATINGA</t>
  </si>
  <si>
    <t>PAINEL 1 - COMPOSIÇÃO DE CUSTOS | LOTE 5 CH DO5  CARATINGA</t>
  </si>
  <si>
    <t>PAINEL 2 - CRONOGRAMA FÍSICO-FINANCEIRO | LOTE 5 CH DO5 CARATINGA</t>
  </si>
  <si>
    <t>VALOR DA HORA MÁQUINAs</t>
  </si>
  <si>
    <t>Retroescavadiera</t>
  </si>
  <si>
    <t>Retroescavadeira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</si>
</sst>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R$&quot;\ #,##0.00;[Red]\-&quot;R$&quot;\ #,##0.00"/>
    <numFmt numFmtId="43" formatCode="_-* #,##0.00_-;\-* #,##0.00_-;_-* &quot;-&quot;??_-;_-@_-"/>
    <numFmt numFmtId="164" formatCode="&quot;R$&quot;\ #,##0.00"/>
    <numFmt numFmtId="165" formatCode="0.0000"/>
    <numFmt numFmtId="166" formatCode="#,##0.000"/>
    <numFmt numFmtId="167" formatCode="&quot;R$&quot;\ #,##0.0000"/>
  </numFmts>
  <fonts count="6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1"/>
      <color theme="1"/>
      <name val="Aptos Narrow"/>
      <family val="2"/>
      <scheme val="minor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12"/>
      <color theme="1"/>
      <name val="Arial"/>
      <family val="2"/>
    </font>
    <font>
      <b/>
      <sz val="12"/>
      <color theme="0"/>
      <name val="Arial"/>
      <family val="2"/>
    </font>
    <font>
      <sz val="11"/>
      <color theme="1"/>
      <name val="Arial"/>
      <family val="2"/>
    </font>
    <font>
      <b/>
      <sz val="10"/>
      <color rgb="FFFFFFFF"/>
      <name val="Arial"/>
      <family val="2"/>
    </font>
    <font>
      <sz val="10"/>
      <color rgb="FF262626"/>
      <name val="Arial"/>
      <family val="2"/>
    </font>
    <font>
      <i/>
      <sz val="10"/>
      <color rgb="FF262626"/>
      <name val="Arial"/>
      <family val="2"/>
    </font>
    <font>
      <b/>
      <sz val="10"/>
      <color rgb="FF262626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8"/>
      <color theme="0"/>
      <name val="Arial"/>
      <family val="2"/>
    </font>
    <font>
      <sz val="8"/>
      <name val="Arial"/>
      <family val="2"/>
    </font>
    <font>
      <sz val="8"/>
      <color rgb="FFFFFFFF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8"/>
      <name val="Aptos Narrow"/>
      <family val="2"/>
    </font>
    <font>
      <sz val="12"/>
      <color theme="1" tint="0.14999847407452621"/>
      <name val="Arial"/>
      <family val="2"/>
    </font>
    <font>
      <sz val="11"/>
      <color theme="1" tint="0.14999847407452621"/>
      <name val="Arial"/>
      <family val="2"/>
    </font>
    <font>
      <b/>
      <sz val="11"/>
      <color theme="1" tint="0.14999847407452621"/>
      <name val="Arial"/>
      <family val="2"/>
    </font>
    <font>
      <b/>
      <i/>
      <sz val="11"/>
      <color theme="1" tint="0.14999847407452621"/>
      <name val="Arial"/>
      <family val="2"/>
    </font>
    <font>
      <sz val="11"/>
      <name val="Arial"/>
      <family val="2"/>
    </font>
    <font>
      <i/>
      <sz val="10"/>
      <name val="Arial"/>
      <family val="2"/>
    </font>
    <font>
      <i/>
      <u/>
      <sz val="10"/>
      <name val="Arial"/>
      <family val="2"/>
    </font>
    <font>
      <sz val="9"/>
      <color theme="1" tint="0.14999847407452621"/>
      <name val="Arial"/>
      <family val="2"/>
    </font>
    <font>
      <sz val="9"/>
      <color theme="1" tint="0.14999847407452621"/>
      <name val="Aptos Narrow"/>
      <family val="2"/>
    </font>
    <font>
      <i/>
      <sz val="9"/>
      <color theme="1" tint="0.14999847407452621"/>
      <name val="Arial"/>
      <family val="2"/>
    </font>
    <font>
      <b/>
      <i/>
      <sz val="10"/>
      <color theme="0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Calibri"/>
      <family val="2"/>
    </font>
    <font>
      <b/>
      <i/>
      <sz val="10"/>
      <name val="Arial"/>
      <family val="2"/>
    </font>
    <font>
      <b/>
      <i/>
      <sz val="10"/>
      <color rgb="FF262626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b/>
      <sz val="9"/>
      <color rgb="FFFF0000"/>
      <name val="Arial"/>
      <family val="2"/>
    </font>
    <font>
      <i/>
      <sz val="10"/>
      <color theme="1"/>
      <name val="Arial"/>
      <family val="2"/>
    </font>
    <font>
      <b/>
      <sz val="7"/>
      <color theme="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2"/>
      <color rgb="FF000000"/>
      <name val="Arial"/>
      <family val="2"/>
    </font>
    <font>
      <sz val="9"/>
      <color rgb="FF000000"/>
      <name val="Arial"/>
      <family val="2"/>
    </font>
    <font>
      <sz val="11"/>
      <color rgb="FF242424"/>
      <name val="Aptos Narrow"/>
      <family val="2"/>
    </font>
    <font>
      <sz val="8"/>
      <color rgb="FF242424"/>
      <name val="Arial"/>
      <family val="2"/>
    </font>
    <font>
      <sz val="10"/>
      <color rgb="FFFF0000"/>
      <name val="Arial"/>
      <family val="2"/>
    </font>
    <font>
      <b/>
      <sz val="9"/>
      <color rgb="FFFFFFFF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0"/>
      <color theme="0"/>
      <name val="Arial"/>
      <family val="2"/>
    </font>
    <font>
      <sz val="7"/>
      <color rgb="FF262626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/>
        <bgColor rgb="FF000000"/>
      </patternFill>
    </fill>
    <fill>
      <patternFill patternType="solid">
        <fgColor rgb="FF074F69"/>
        <bgColor rgb="FF000000"/>
      </patternFill>
    </fill>
    <fill>
      <patternFill patternType="solid">
        <fgColor rgb="FF0C769E"/>
        <bgColor rgb="FF000000"/>
      </patternFill>
    </fill>
    <fill>
      <patternFill patternType="solid">
        <fgColor rgb="FF4EA72E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1">
    <xf numFmtId="0" fontId="0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" fillId="0" borderId="0"/>
    <xf numFmtId="0" fontId="4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4" fillId="0" borderId="0" applyNumberFormat="0" applyFill="0" applyBorder="0" applyAlignment="0" applyProtection="0"/>
  </cellStyleXfs>
  <cellXfs count="848">
    <xf numFmtId="0" fontId="0" fillId="0" borderId="0" xfId="0"/>
    <xf numFmtId="0" fontId="9" fillId="2" borderId="0" xfId="0" applyFont="1" applyFill="1" applyAlignment="1">
      <alignment horizontal="center"/>
    </xf>
    <xf numFmtId="0" fontId="10" fillId="0" borderId="0" xfId="0" applyFont="1"/>
    <xf numFmtId="0" fontId="11" fillId="7" borderId="29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 wrapText="1"/>
    </xf>
    <xf numFmtId="0" fontId="11" fillId="7" borderId="30" xfId="0" applyFont="1" applyFill="1" applyBorder="1" applyAlignment="1">
      <alignment horizontal="center" vertical="center" wrapText="1"/>
    </xf>
    <xf numFmtId="0" fontId="6" fillId="8" borderId="31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vertical="center"/>
    </xf>
    <xf numFmtId="8" fontId="6" fillId="8" borderId="3" xfId="0" applyNumberFormat="1" applyFont="1" applyFill="1" applyBorder="1" applyAlignment="1">
      <alignment horizontal="center" vertical="center"/>
    </xf>
    <xf numFmtId="0" fontId="12" fillId="5" borderId="29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justify" vertical="center" wrapText="1"/>
    </xf>
    <xf numFmtId="8" fontId="12" fillId="5" borderId="2" xfId="0" applyNumberFormat="1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justify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4" fillId="8" borderId="31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left" vertical="center"/>
    </xf>
    <xf numFmtId="0" fontId="14" fillId="8" borderId="7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8" fontId="14" fillId="8" borderId="3" xfId="0" applyNumberFormat="1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left" vertical="center" wrapText="1"/>
    </xf>
    <xf numFmtId="8" fontId="12" fillId="0" borderId="2" xfId="0" applyNumberFormat="1" applyFont="1" applyBorder="1" applyAlignment="1">
      <alignment horizontal="center" vertical="center"/>
    </xf>
    <xf numFmtId="0" fontId="11" fillId="7" borderId="2" xfId="0" applyFont="1" applyFill="1" applyBorder="1" applyAlignment="1">
      <alignment horizontal="center" vertical="center"/>
    </xf>
    <xf numFmtId="0" fontId="14" fillId="8" borderId="29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right" vertical="center"/>
    </xf>
    <xf numFmtId="8" fontId="14" fillId="8" borderId="2" xfId="0" applyNumberFormat="1" applyFont="1" applyFill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3" fontId="12" fillId="0" borderId="2" xfId="0" applyNumberFormat="1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15" fillId="0" borderId="0" xfId="0" applyFont="1"/>
    <xf numFmtId="0" fontId="16" fillId="0" borderId="0" xfId="0" applyFont="1"/>
    <xf numFmtId="0" fontId="7" fillId="6" borderId="15" xfId="0" applyFont="1" applyFill="1" applyBorder="1" applyAlignment="1">
      <alignment horizontal="center" vertical="center" wrapText="1"/>
    </xf>
    <xf numFmtId="0" fontId="22" fillId="6" borderId="16" xfId="0" applyFont="1" applyFill="1" applyBorder="1" applyAlignment="1">
      <alignment horizontal="center" vertical="center" wrapText="1"/>
    </xf>
    <xf numFmtId="0" fontId="22" fillId="6" borderId="43" xfId="0" applyFont="1" applyFill="1" applyBorder="1" applyAlignment="1">
      <alignment horizontal="center" vertical="center" wrapText="1"/>
    </xf>
    <xf numFmtId="0" fontId="23" fillId="0" borderId="18" xfId="0" applyFont="1" applyBorder="1" applyAlignment="1">
      <alignment horizontal="left" vertical="center" wrapText="1"/>
    </xf>
    <xf numFmtId="0" fontId="23" fillId="4" borderId="18" xfId="0" applyFont="1" applyFill="1" applyBorder="1"/>
    <xf numFmtId="0" fontId="23" fillId="0" borderId="18" xfId="0" applyFont="1" applyBorder="1"/>
    <xf numFmtId="0" fontId="24" fillId="0" borderId="18" xfId="0" applyFont="1" applyBorder="1" applyAlignment="1">
      <alignment vertical="center" wrapText="1"/>
    </xf>
    <xf numFmtId="0" fontId="23" fillId="0" borderId="19" xfId="0" applyFont="1" applyBorder="1"/>
    <xf numFmtId="0" fontId="23" fillId="0" borderId="2" xfId="0" applyFont="1" applyBorder="1" applyAlignment="1">
      <alignment horizontal="left" vertical="center" wrapText="1"/>
    </xf>
    <xf numFmtId="0" fontId="23" fillId="9" borderId="2" xfId="0" applyFont="1" applyFill="1" applyBorder="1"/>
    <xf numFmtId="0" fontId="23" fillId="0" borderId="2" xfId="0" applyFont="1" applyBorder="1"/>
    <xf numFmtId="0" fontId="24" fillId="0" borderId="2" xfId="0" applyFont="1" applyBorder="1" applyAlignment="1">
      <alignment vertical="center" wrapText="1"/>
    </xf>
    <xf numFmtId="0" fontId="23" fillId="0" borderId="20" xfId="0" applyFont="1" applyBorder="1"/>
    <xf numFmtId="0" fontId="25" fillId="9" borderId="2" xfId="0" applyFont="1" applyFill="1" applyBorder="1" applyAlignment="1">
      <alignment horizontal="center" wrapText="1"/>
    </xf>
    <xf numFmtId="0" fontId="23" fillId="4" borderId="2" xfId="0" applyFont="1" applyFill="1" applyBorder="1"/>
    <xf numFmtId="0" fontId="25" fillId="9" borderId="2" xfId="0" applyFont="1" applyFill="1" applyBorder="1" applyAlignment="1">
      <alignment horizontal="center" vertical="center" wrapText="1"/>
    </xf>
    <xf numFmtId="0" fontId="23" fillId="9" borderId="20" xfId="0" applyFont="1" applyFill="1" applyBorder="1"/>
    <xf numFmtId="0" fontId="25" fillId="9" borderId="20" xfId="0" applyFont="1" applyFill="1" applyBorder="1" applyAlignment="1">
      <alignment horizont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left" vertical="center" wrapText="1"/>
    </xf>
    <xf numFmtId="0" fontId="23" fillId="9" borderId="16" xfId="0" applyFont="1" applyFill="1" applyBorder="1"/>
    <xf numFmtId="0" fontId="24" fillId="0" borderId="16" xfId="0" applyFont="1" applyBorder="1" applyAlignment="1">
      <alignment vertical="center" wrapText="1"/>
    </xf>
    <xf numFmtId="0" fontId="25" fillId="9" borderId="16" xfId="0" applyFont="1" applyFill="1" applyBorder="1" applyAlignment="1">
      <alignment horizontal="center" wrapText="1"/>
    </xf>
    <xf numFmtId="0" fontId="25" fillId="9" borderId="43" xfId="0" applyFont="1" applyFill="1" applyBorder="1" applyAlignment="1">
      <alignment horizontal="center" wrapText="1"/>
    </xf>
    <xf numFmtId="0" fontId="23" fillId="12" borderId="18" xfId="0" applyFont="1" applyFill="1" applyBorder="1" applyAlignment="1">
      <alignment vertical="center" wrapText="1"/>
    </xf>
    <xf numFmtId="164" fontId="23" fillId="12" borderId="18" xfId="0" applyNumberFormat="1" applyFont="1" applyFill="1" applyBorder="1" applyAlignment="1">
      <alignment horizontal="center" vertical="center"/>
    </xf>
    <xf numFmtId="0" fontId="24" fillId="12" borderId="18" xfId="0" applyFont="1" applyFill="1" applyBorder="1" applyAlignment="1">
      <alignment horizontal="center" vertical="center" wrapText="1"/>
    </xf>
    <xf numFmtId="164" fontId="23" fillId="12" borderId="19" xfId="0" applyNumberFormat="1" applyFont="1" applyFill="1" applyBorder="1" applyAlignment="1">
      <alignment horizontal="center" vertical="center"/>
    </xf>
    <xf numFmtId="0" fontId="23" fillId="13" borderId="2" xfId="0" applyFont="1" applyFill="1" applyBorder="1" applyAlignment="1">
      <alignment vertical="center" wrapText="1"/>
    </xf>
    <xf numFmtId="10" fontId="23" fillId="13" borderId="2" xfId="1" applyNumberFormat="1" applyFont="1" applyFill="1" applyBorder="1" applyAlignment="1">
      <alignment horizontal="center" vertical="center"/>
    </xf>
    <xf numFmtId="10" fontId="23" fillId="13" borderId="20" xfId="1" applyNumberFormat="1" applyFont="1" applyFill="1" applyBorder="1" applyAlignment="1">
      <alignment horizontal="center" vertical="center"/>
    </xf>
    <xf numFmtId="0" fontId="23" fillId="12" borderId="2" xfId="0" applyFont="1" applyFill="1" applyBorder="1" applyAlignment="1">
      <alignment vertical="center" wrapText="1"/>
    </xf>
    <xf numFmtId="164" fontId="23" fillId="12" borderId="2" xfId="0" applyNumberFormat="1" applyFont="1" applyFill="1" applyBorder="1" applyAlignment="1">
      <alignment horizontal="center" vertical="center"/>
    </xf>
    <xf numFmtId="0" fontId="24" fillId="12" borderId="2" xfId="0" applyFont="1" applyFill="1" applyBorder="1" applyAlignment="1">
      <alignment horizontal="center" vertical="center" wrapText="1"/>
    </xf>
    <xf numFmtId="164" fontId="23" fillId="12" borderId="20" xfId="0" applyNumberFormat="1" applyFont="1" applyFill="1" applyBorder="1" applyAlignment="1">
      <alignment horizontal="center" vertical="center"/>
    </xf>
    <xf numFmtId="10" fontId="24" fillId="13" borderId="2" xfId="1" applyNumberFormat="1" applyFont="1" applyFill="1" applyBorder="1" applyAlignment="1">
      <alignment horizontal="center" vertical="center" wrapText="1"/>
    </xf>
    <xf numFmtId="0" fontId="23" fillId="14" borderId="2" xfId="0" applyFont="1" applyFill="1" applyBorder="1" applyAlignment="1">
      <alignment vertical="center" wrapText="1"/>
    </xf>
    <xf numFmtId="164" fontId="23" fillId="14" borderId="2" xfId="0" applyNumberFormat="1" applyFont="1" applyFill="1" applyBorder="1" applyAlignment="1">
      <alignment horizontal="center" vertical="center"/>
    </xf>
    <xf numFmtId="0" fontId="23" fillId="14" borderId="2" xfId="0" applyFont="1" applyFill="1" applyBorder="1"/>
    <xf numFmtId="164" fontId="23" fillId="14" borderId="20" xfId="0" applyNumberFormat="1" applyFont="1" applyFill="1" applyBorder="1" applyAlignment="1">
      <alignment horizontal="center" vertical="center"/>
    </xf>
    <xf numFmtId="0" fontId="23" fillId="15" borderId="2" xfId="0" applyFont="1" applyFill="1" applyBorder="1" applyAlignment="1">
      <alignment vertical="center" wrapText="1"/>
    </xf>
    <xf numFmtId="10" fontId="23" fillId="15" borderId="2" xfId="1" applyNumberFormat="1" applyFont="1" applyFill="1" applyBorder="1" applyAlignment="1">
      <alignment horizontal="center" vertical="center"/>
    </xf>
    <xf numFmtId="0" fontId="23" fillId="15" borderId="2" xfId="0" applyFont="1" applyFill="1" applyBorder="1"/>
    <xf numFmtId="10" fontId="23" fillId="15" borderId="20" xfId="1" applyNumberFormat="1" applyFont="1" applyFill="1" applyBorder="1" applyAlignment="1">
      <alignment horizontal="center" vertical="center"/>
    </xf>
    <xf numFmtId="164" fontId="24" fillId="14" borderId="2" xfId="0" applyNumberFormat="1" applyFont="1" applyFill="1" applyBorder="1" applyAlignment="1">
      <alignment horizontal="center" vertical="center" wrapText="1"/>
    </xf>
    <xf numFmtId="0" fontId="23" fillId="10" borderId="2" xfId="0" applyFont="1" applyFill="1" applyBorder="1" applyAlignment="1">
      <alignment vertical="center" wrapText="1"/>
    </xf>
    <xf numFmtId="164" fontId="23" fillId="10" borderId="2" xfId="0" applyNumberFormat="1" applyFont="1" applyFill="1" applyBorder="1" applyAlignment="1">
      <alignment horizontal="center" vertical="center"/>
    </xf>
    <xf numFmtId="0" fontId="24" fillId="10" borderId="2" xfId="0" applyFont="1" applyFill="1" applyBorder="1" applyAlignment="1">
      <alignment horizontal="center" vertical="center" wrapText="1"/>
    </xf>
    <xf numFmtId="164" fontId="23" fillId="10" borderId="20" xfId="0" applyNumberFormat="1" applyFont="1" applyFill="1" applyBorder="1" applyAlignment="1">
      <alignment horizontal="center" vertical="center"/>
    </xf>
    <xf numFmtId="0" fontId="23" fillId="11" borderId="2" xfId="0" applyFont="1" applyFill="1" applyBorder="1" applyAlignment="1">
      <alignment vertical="center" wrapText="1"/>
    </xf>
    <xf numFmtId="10" fontId="23" fillId="11" borderId="2" xfId="1" applyNumberFormat="1" applyFont="1" applyFill="1" applyBorder="1" applyAlignment="1">
      <alignment horizontal="center" vertical="center"/>
    </xf>
    <xf numFmtId="10" fontId="23" fillId="11" borderId="20" xfId="1" applyNumberFormat="1" applyFont="1" applyFill="1" applyBorder="1" applyAlignment="1">
      <alignment horizontal="center" vertical="center"/>
    </xf>
    <xf numFmtId="0" fontId="23" fillId="11" borderId="16" xfId="0" applyFont="1" applyFill="1" applyBorder="1" applyAlignment="1">
      <alignment vertical="center" wrapText="1"/>
    </xf>
    <xf numFmtId="10" fontId="23" fillId="11" borderId="16" xfId="1" applyNumberFormat="1" applyFont="1" applyFill="1" applyBorder="1" applyAlignment="1">
      <alignment horizontal="center" vertical="center"/>
    </xf>
    <xf numFmtId="10" fontId="24" fillId="11" borderId="16" xfId="1" applyNumberFormat="1" applyFont="1" applyFill="1" applyBorder="1" applyAlignment="1">
      <alignment horizontal="center" vertical="center" wrapText="1"/>
    </xf>
    <xf numFmtId="10" fontId="23" fillId="11" borderId="43" xfId="1" applyNumberFormat="1" applyFont="1" applyFill="1" applyBorder="1" applyAlignment="1">
      <alignment horizontal="center" vertical="center"/>
    </xf>
    <xf numFmtId="0" fontId="24" fillId="9" borderId="2" xfId="0" applyFont="1" applyFill="1" applyBorder="1" applyAlignment="1">
      <alignment vertical="center" wrapText="1"/>
    </xf>
    <xf numFmtId="0" fontId="23" fillId="0" borderId="2" xfId="0" applyFont="1" applyBorder="1" applyAlignment="1">
      <alignment horizontal="center" vertical="center" wrapText="1"/>
    </xf>
    <xf numFmtId="0" fontId="25" fillId="9" borderId="20" xfId="0" applyFont="1" applyFill="1" applyBorder="1" applyAlignment="1">
      <alignment horizontal="center" vertical="center" wrapText="1"/>
    </xf>
    <xf numFmtId="0" fontId="23" fillId="10" borderId="2" xfId="0" applyFont="1" applyFill="1" applyBorder="1" applyAlignment="1">
      <alignment horizontal="center" vertical="center" wrapText="1"/>
    </xf>
    <xf numFmtId="0" fontId="23" fillId="12" borderId="2" xfId="0" applyFont="1" applyFill="1" applyBorder="1" applyAlignment="1">
      <alignment horizontal="center" vertical="center" wrapText="1"/>
    </xf>
    <xf numFmtId="10" fontId="23" fillId="13" borderId="2" xfId="1" applyNumberFormat="1" applyFont="1" applyFill="1" applyBorder="1" applyAlignment="1">
      <alignment horizontal="center" vertical="center" wrapText="1"/>
    </xf>
    <xf numFmtId="164" fontId="23" fillId="14" borderId="2" xfId="0" applyNumberFormat="1" applyFont="1" applyFill="1" applyBorder="1" applyAlignment="1">
      <alignment horizontal="center" vertical="center" wrapText="1"/>
    </xf>
    <xf numFmtId="10" fontId="23" fillId="11" borderId="16" xfId="1" applyNumberFormat="1" applyFont="1" applyFill="1" applyBorder="1" applyAlignment="1">
      <alignment horizontal="center" vertical="center" wrapText="1"/>
    </xf>
    <xf numFmtId="0" fontId="22" fillId="6" borderId="18" xfId="0" applyFont="1" applyFill="1" applyBorder="1" applyAlignment="1">
      <alignment vertical="center"/>
    </xf>
    <xf numFmtId="0" fontId="22" fillId="6" borderId="16" xfId="0" applyFont="1" applyFill="1" applyBorder="1" applyAlignment="1">
      <alignment vertical="center" wrapText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10" fontId="23" fillId="0" borderId="0" xfId="1" applyNumberFormat="1" applyFont="1" applyFill="1" applyBorder="1" applyAlignment="1">
      <alignment horizontal="center" vertical="center"/>
    </xf>
    <xf numFmtId="10" fontId="24" fillId="0" borderId="0" xfId="1" applyNumberFormat="1" applyFont="1" applyFill="1" applyBorder="1" applyAlignment="1">
      <alignment horizontal="center" vertical="center" wrapText="1"/>
    </xf>
    <xf numFmtId="0" fontId="26" fillId="0" borderId="0" xfId="0" applyFont="1"/>
    <xf numFmtId="0" fontId="23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27" fillId="0" borderId="35" xfId="0" applyFont="1" applyBorder="1" applyAlignment="1">
      <alignment vertical="center"/>
    </xf>
    <xf numFmtId="0" fontId="27" fillId="0" borderId="0" xfId="0" applyFont="1" applyAlignment="1">
      <alignment vertical="center"/>
    </xf>
    <xf numFmtId="0" fontId="28" fillId="0" borderId="2" xfId="0" applyFont="1" applyBorder="1" applyAlignment="1">
      <alignment horizontal="center" vertical="center"/>
    </xf>
    <xf numFmtId="0" fontId="28" fillId="0" borderId="30" xfId="0" applyFont="1" applyBorder="1" applyAlignment="1">
      <alignment horizontal="center" vertical="center"/>
    </xf>
    <xf numFmtId="0" fontId="7" fillId="6" borderId="34" xfId="0" applyFont="1" applyFill="1" applyBorder="1" applyAlignment="1">
      <alignment horizontal="center" vertical="center"/>
    </xf>
    <xf numFmtId="8" fontId="7" fillId="7" borderId="2" xfId="0" applyNumberFormat="1" applyFont="1" applyFill="1" applyBorder="1" applyAlignment="1">
      <alignment horizontal="center" vertical="center"/>
    </xf>
    <xf numFmtId="0" fontId="27" fillId="0" borderId="30" xfId="0" applyFont="1" applyBorder="1" applyAlignment="1">
      <alignment horizontal="center" vertical="center"/>
    </xf>
    <xf numFmtId="8" fontId="7" fillId="6" borderId="33" xfId="0" applyNumberFormat="1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27" fillId="0" borderId="0" xfId="0" applyFont="1"/>
    <xf numFmtId="0" fontId="7" fillId="7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6" borderId="0" xfId="0" applyFont="1" applyFill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7" fillId="7" borderId="20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6" borderId="0" xfId="0" applyFont="1" applyFill="1" applyAlignment="1">
      <alignment vertical="center"/>
    </xf>
    <xf numFmtId="0" fontId="7" fillId="7" borderId="9" xfId="0" applyFont="1" applyFill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10" fontId="7" fillId="7" borderId="2" xfId="1" applyNumberFormat="1" applyFont="1" applyFill="1" applyBorder="1" applyAlignment="1">
      <alignment horizontal="center" vertical="center"/>
    </xf>
    <xf numFmtId="10" fontId="7" fillId="6" borderId="2" xfId="1" applyNumberFormat="1" applyFont="1" applyFill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17" fillId="7" borderId="14" xfId="0" applyFont="1" applyFill="1" applyBorder="1" applyAlignment="1">
      <alignment horizontal="center" vertical="center"/>
    </xf>
    <xf numFmtId="0" fontId="17" fillId="7" borderId="20" xfId="0" applyFont="1" applyFill="1" applyBorder="1" applyAlignment="1">
      <alignment horizontal="center" vertical="center"/>
    </xf>
    <xf numFmtId="0" fontId="21" fillId="0" borderId="0" xfId="0" applyFont="1" applyAlignment="1">
      <alignment vertical="center" wrapText="1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1" fillId="0" borderId="2" xfId="0" applyFont="1" applyBorder="1" applyAlignment="1">
      <alignment horizontal="center" vertical="center" wrapText="1"/>
    </xf>
    <xf numFmtId="0" fontId="17" fillId="7" borderId="2" xfId="0" applyFont="1" applyFill="1" applyBorder="1" applyAlignment="1">
      <alignment horizontal="center" vertical="center" wrapText="1"/>
    </xf>
    <xf numFmtId="0" fontId="22" fillId="7" borderId="2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164" fontId="30" fillId="8" borderId="2" xfId="0" applyNumberFormat="1" applyFont="1" applyFill="1" applyBorder="1" applyAlignment="1">
      <alignment horizontal="center" vertical="center" wrapText="1"/>
    </xf>
    <xf numFmtId="164" fontId="30" fillId="8" borderId="4" xfId="0" applyNumberFormat="1" applyFont="1" applyFill="1" applyBorder="1" applyAlignment="1">
      <alignment horizontal="center" vertical="center" wrapText="1"/>
    </xf>
    <xf numFmtId="164" fontId="21" fillId="0" borderId="2" xfId="0" applyNumberFormat="1" applyFont="1" applyBorder="1" applyAlignment="1">
      <alignment horizontal="center" vertical="center" wrapText="1"/>
    </xf>
    <xf numFmtId="9" fontId="21" fillId="0" borderId="2" xfId="1" applyFont="1" applyBorder="1" applyAlignment="1">
      <alignment horizontal="center" vertical="center" wrapText="1"/>
    </xf>
    <xf numFmtId="8" fontId="21" fillId="0" borderId="2" xfId="0" applyNumberFormat="1" applyFont="1" applyBorder="1" applyAlignment="1">
      <alignment horizontal="center" vertical="center" wrapText="1"/>
    </xf>
    <xf numFmtId="0" fontId="17" fillId="7" borderId="8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vertical="center"/>
    </xf>
    <xf numFmtId="0" fontId="7" fillId="7" borderId="2" xfId="0" applyFont="1" applyFill="1" applyBorder="1" applyAlignment="1">
      <alignment horizontal="center" vertical="center" wrapText="1"/>
    </xf>
    <xf numFmtId="0" fontId="22" fillId="7" borderId="14" xfId="0" applyFont="1" applyFill="1" applyBorder="1" applyAlignment="1">
      <alignment horizontal="center" vertical="center" wrapText="1"/>
    </xf>
    <xf numFmtId="0" fontId="22" fillId="7" borderId="20" xfId="0" applyFont="1" applyFill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30" fillId="8" borderId="14" xfId="0" applyFont="1" applyFill="1" applyBorder="1" applyAlignment="1">
      <alignment horizontal="center" vertical="center" wrapText="1"/>
    </xf>
    <xf numFmtId="164" fontId="30" fillId="8" borderId="20" xfId="0" applyNumberFormat="1" applyFont="1" applyFill="1" applyBorder="1" applyAlignment="1">
      <alignment horizontal="center" vertical="center" wrapText="1"/>
    </xf>
    <xf numFmtId="164" fontId="7" fillId="6" borderId="16" xfId="0" applyNumberFormat="1" applyFont="1" applyFill="1" applyBorder="1" applyAlignment="1">
      <alignment horizontal="center" vertical="center" wrapText="1"/>
    </xf>
    <xf numFmtId="164" fontId="7" fillId="6" borderId="43" xfId="0" applyNumberFormat="1" applyFont="1" applyFill="1" applyBorder="1" applyAlignment="1">
      <alignment horizontal="center" vertical="center" wrapText="1"/>
    </xf>
    <xf numFmtId="0" fontId="17" fillId="7" borderId="14" xfId="0" applyFont="1" applyFill="1" applyBorder="1" applyAlignment="1">
      <alignment horizontal="center" vertical="center" wrapText="1"/>
    </xf>
    <xf numFmtId="0" fontId="17" fillId="7" borderId="20" xfId="0" applyFont="1" applyFill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164" fontId="21" fillId="0" borderId="20" xfId="0" applyNumberFormat="1" applyFont="1" applyBorder="1" applyAlignment="1">
      <alignment horizontal="center" vertical="center" wrapText="1"/>
    </xf>
    <xf numFmtId="9" fontId="21" fillId="0" borderId="20" xfId="1" applyFont="1" applyBorder="1" applyAlignment="1">
      <alignment horizontal="center" vertical="center" wrapText="1"/>
    </xf>
    <xf numFmtId="8" fontId="21" fillId="0" borderId="20" xfId="0" applyNumberFormat="1" applyFont="1" applyBorder="1" applyAlignment="1">
      <alignment horizontal="center" vertical="center" wrapText="1"/>
    </xf>
    <xf numFmtId="0" fontId="17" fillId="6" borderId="15" xfId="0" applyFont="1" applyFill="1" applyBorder="1" applyAlignment="1">
      <alignment horizontal="center" vertical="center" wrapText="1"/>
    </xf>
    <xf numFmtId="8" fontId="17" fillId="6" borderId="16" xfId="0" applyNumberFormat="1" applyFont="1" applyFill="1" applyBorder="1" applyAlignment="1">
      <alignment horizontal="center" vertical="center" wrapText="1"/>
    </xf>
    <xf numFmtId="0" fontId="7" fillId="0" borderId="57" xfId="0" applyFont="1" applyBorder="1" applyAlignment="1">
      <alignment horizontal="center" vertical="center" wrapText="1"/>
    </xf>
    <xf numFmtId="0" fontId="7" fillId="0" borderId="58" xfId="0" applyFont="1" applyBorder="1" applyAlignment="1">
      <alignment horizontal="center" vertical="center" wrapText="1"/>
    </xf>
    <xf numFmtId="0" fontId="17" fillId="7" borderId="49" xfId="0" applyFont="1" applyFill="1" applyBorder="1" applyAlignment="1">
      <alignment horizontal="center" vertical="center" wrapText="1"/>
    </xf>
    <xf numFmtId="0" fontId="17" fillId="7" borderId="50" xfId="0" applyFont="1" applyFill="1" applyBorder="1" applyAlignment="1">
      <alignment horizontal="center" vertical="center" wrapText="1"/>
    </xf>
    <xf numFmtId="0" fontId="7" fillId="7" borderId="14" xfId="0" applyFont="1" applyFill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14" xfId="0" applyFont="1" applyBorder="1" applyAlignment="1">
      <alignment vertical="center" wrapText="1"/>
    </xf>
    <xf numFmtId="0" fontId="7" fillId="6" borderId="15" xfId="0" applyFont="1" applyFill="1" applyBorder="1" applyAlignment="1">
      <alignment vertical="center" wrapText="1"/>
    </xf>
    <xf numFmtId="0" fontId="21" fillId="0" borderId="2" xfId="0" applyFont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/>
    </xf>
    <xf numFmtId="0" fontId="4" fillId="0" borderId="0" xfId="3" applyFont="1" applyAlignment="1">
      <alignment vertical="center"/>
    </xf>
    <xf numFmtId="0" fontId="33" fillId="0" borderId="0" xfId="6" applyFont="1" applyAlignment="1">
      <alignment horizontal="center" vertical="center"/>
    </xf>
    <xf numFmtId="0" fontId="35" fillId="0" borderId="0" xfId="4" applyFont="1" applyAlignment="1">
      <alignment horizontal="left" vertical="center"/>
    </xf>
    <xf numFmtId="0" fontId="34" fillId="0" borderId="0" xfId="5" applyFont="1"/>
    <xf numFmtId="0" fontId="34" fillId="0" borderId="0" xfId="4" applyFont="1"/>
    <xf numFmtId="0" fontId="34" fillId="0" borderId="0" xfId="6" applyFont="1" applyAlignment="1">
      <alignment horizontal="center" vertical="center"/>
    </xf>
    <xf numFmtId="1" fontId="35" fillId="0" borderId="0" xfId="4" applyNumberFormat="1" applyFont="1" applyAlignment="1">
      <alignment horizontal="center" vertical="center"/>
    </xf>
    <xf numFmtId="0" fontId="36" fillId="0" borderId="0" xfId="4" applyFont="1" applyAlignment="1">
      <alignment horizontal="left" vertical="center"/>
    </xf>
    <xf numFmtId="0" fontId="35" fillId="0" borderId="0" xfId="4" applyFont="1" applyAlignment="1">
      <alignment horizontal="right"/>
    </xf>
    <xf numFmtId="43" fontId="35" fillId="0" borderId="0" xfId="7" applyFont="1" applyAlignment="1">
      <alignment horizontal="center" vertical="center"/>
    </xf>
    <xf numFmtId="4" fontId="35" fillId="0" borderId="0" xfId="4" applyNumberFormat="1" applyFont="1" applyAlignment="1">
      <alignment vertical="center"/>
    </xf>
    <xf numFmtId="4" fontId="35" fillId="0" borderId="0" xfId="8" applyNumberFormat="1" applyFont="1" applyAlignment="1">
      <alignment vertical="center"/>
    </xf>
    <xf numFmtId="3" fontId="33" fillId="0" borderId="0" xfId="6" applyNumberFormat="1" applyFont="1" applyAlignment="1">
      <alignment horizontal="left" vertical="center"/>
    </xf>
    <xf numFmtId="0" fontId="33" fillId="0" borderId="0" xfId="6" applyFont="1" applyAlignment="1">
      <alignment horizontal="left" vertical="center"/>
    </xf>
    <xf numFmtId="1" fontId="34" fillId="0" borderId="57" xfId="4" applyNumberFormat="1" applyFont="1" applyBorder="1" applyAlignment="1">
      <alignment horizontal="center" vertical="center"/>
    </xf>
    <xf numFmtId="0" fontId="34" fillId="0" borderId="0" xfId="4" applyFont="1" applyAlignment="1">
      <alignment horizontal="left" vertical="center"/>
    </xf>
    <xf numFmtId="0" fontId="34" fillId="0" borderId="0" xfId="4" applyFont="1" applyAlignment="1">
      <alignment vertical="center"/>
    </xf>
    <xf numFmtId="0" fontId="34" fillId="0" borderId="0" xfId="4" applyFont="1" applyAlignment="1">
      <alignment horizontal="right"/>
    </xf>
    <xf numFmtId="10" fontId="34" fillId="0" borderId="0" xfId="8" applyNumberFormat="1" applyFont="1" applyBorder="1" applyAlignment="1">
      <alignment horizontal="left" vertical="center"/>
    </xf>
    <xf numFmtId="4" fontId="34" fillId="0" borderId="0" xfId="4" applyNumberFormat="1" applyFont="1" applyAlignment="1">
      <alignment vertical="center"/>
    </xf>
    <xf numFmtId="43" fontId="34" fillId="0" borderId="0" xfId="7" applyFont="1" applyBorder="1" applyAlignment="1">
      <alignment vertical="center"/>
    </xf>
    <xf numFmtId="0" fontId="33" fillId="0" borderId="58" xfId="6" applyFont="1" applyBorder="1" applyAlignment="1">
      <alignment horizontal="center" vertical="center"/>
    </xf>
    <xf numFmtId="0" fontId="40" fillId="3" borderId="66" xfId="4" applyFont="1" applyFill="1" applyBorder="1" applyAlignment="1">
      <alignment horizontal="left" vertical="center"/>
    </xf>
    <xf numFmtId="0" fontId="40" fillId="3" borderId="7" xfId="4" applyFont="1" applyFill="1" applyBorder="1" applyAlignment="1">
      <alignment horizontal="left" vertical="center"/>
    </xf>
    <xf numFmtId="0" fontId="40" fillId="3" borderId="7" xfId="4" applyFont="1" applyFill="1" applyBorder="1" applyAlignment="1">
      <alignment horizontal="right"/>
    </xf>
    <xf numFmtId="43" fontId="40" fillId="3" borderId="7" xfId="7" applyFont="1" applyFill="1" applyBorder="1" applyAlignment="1">
      <alignment horizontal="left" vertical="center"/>
    </xf>
    <xf numFmtId="4" fontId="40" fillId="3" borderId="7" xfId="4" applyNumberFormat="1" applyFont="1" applyFill="1" applyBorder="1" applyAlignment="1">
      <alignment vertical="center"/>
    </xf>
    <xf numFmtId="0" fontId="40" fillId="0" borderId="7" xfId="6" applyFont="1" applyBorder="1" applyAlignment="1">
      <alignment horizontal="center" vertical="center"/>
    </xf>
    <xf numFmtId="0" fontId="40" fillId="0" borderId="3" xfId="6" applyFont="1" applyBorder="1" applyAlignment="1">
      <alignment horizontal="center" vertical="center"/>
    </xf>
    <xf numFmtId="10" fontId="40" fillId="3" borderId="20" xfId="8" applyNumberFormat="1" applyFont="1" applyFill="1" applyBorder="1" applyAlignment="1">
      <alignment horizontal="center" vertical="center"/>
    </xf>
    <xf numFmtId="0" fontId="40" fillId="3" borderId="66" xfId="4" applyFont="1" applyFill="1" applyBorder="1" applyAlignment="1">
      <alignment vertical="center"/>
    </xf>
    <xf numFmtId="0" fontId="40" fillId="3" borderId="7" xfId="4" applyFont="1" applyFill="1" applyBorder="1" applyAlignment="1">
      <alignment vertical="center"/>
    </xf>
    <xf numFmtId="0" fontId="42" fillId="3" borderId="66" xfId="4" applyFont="1" applyFill="1" applyBorder="1" applyAlignment="1">
      <alignment horizontal="left" vertical="center"/>
    </xf>
    <xf numFmtId="0" fontId="42" fillId="3" borderId="7" xfId="4" applyFont="1" applyFill="1" applyBorder="1" applyAlignment="1">
      <alignment horizontal="left" vertical="center"/>
    </xf>
    <xf numFmtId="10" fontId="40" fillId="3" borderId="7" xfId="8" applyNumberFormat="1" applyFont="1" applyFill="1" applyBorder="1" applyAlignment="1">
      <alignment vertical="center"/>
    </xf>
    <xf numFmtId="10" fontId="40" fillId="3" borderId="2" xfId="4" applyNumberFormat="1" applyFont="1" applyFill="1" applyBorder="1" applyAlignment="1">
      <alignment horizontal="center" vertical="center"/>
    </xf>
    <xf numFmtId="0" fontId="40" fillId="0" borderId="44" xfId="6" applyFont="1" applyBorder="1" applyAlignment="1">
      <alignment horizontal="center" vertical="center"/>
    </xf>
    <xf numFmtId="43" fontId="40" fillId="3" borderId="7" xfId="7" applyFont="1" applyFill="1" applyBorder="1" applyAlignment="1">
      <alignment vertical="center"/>
    </xf>
    <xf numFmtId="0" fontId="40" fillId="0" borderId="45" xfId="6" applyFont="1" applyBorder="1" applyAlignment="1">
      <alignment horizontal="center" vertical="center"/>
    </xf>
    <xf numFmtId="0" fontId="40" fillId="0" borderId="50" xfId="6" applyFont="1" applyBorder="1" applyAlignment="1">
      <alignment horizontal="center" vertical="center"/>
    </xf>
    <xf numFmtId="1" fontId="7" fillId="6" borderId="14" xfId="4" applyNumberFormat="1" applyFont="1" applyFill="1" applyBorder="1" applyAlignment="1">
      <alignment horizontal="center" vertical="center"/>
    </xf>
    <xf numFmtId="0" fontId="7" fillId="6" borderId="2" xfId="4" applyFont="1" applyFill="1" applyBorder="1" applyAlignment="1">
      <alignment horizontal="left" vertical="center"/>
    </xf>
    <xf numFmtId="4" fontId="7" fillId="6" borderId="20" xfId="8" applyNumberFormat="1" applyFont="1" applyFill="1" applyBorder="1" applyAlignment="1">
      <alignment horizontal="center" vertical="center"/>
    </xf>
    <xf numFmtId="1" fontId="7" fillId="6" borderId="15" xfId="4" applyNumberFormat="1" applyFont="1" applyFill="1" applyBorder="1" applyAlignment="1">
      <alignment horizontal="center" vertical="center"/>
    </xf>
    <xf numFmtId="0" fontId="7" fillId="6" borderId="16" xfId="4" applyFont="1" applyFill="1" applyBorder="1" applyAlignment="1">
      <alignment horizontal="left" vertical="center"/>
    </xf>
    <xf numFmtId="4" fontId="7" fillId="6" borderId="43" xfId="8" applyNumberFormat="1" applyFont="1" applyFill="1" applyBorder="1" applyAlignment="1">
      <alignment horizontal="center" vertical="center"/>
    </xf>
    <xf numFmtId="0" fontId="19" fillId="0" borderId="0" xfId="3" applyFont="1" applyAlignment="1">
      <alignment vertical="center"/>
    </xf>
    <xf numFmtId="0" fontId="19" fillId="0" borderId="2" xfId="3" applyFont="1" applyBorder="1" applyAlignment="1">
      <alignment horizontal="center" vertical="center"/>
    </xf>
    <xf numFmtId="4" fontId="20" fillId="0" borderId="2" xfId="3" applyNumberFormat="1" applyFont="1" applyBorder="1" applyAlignment="1">
      <alignment horizontal="center" vertical="center"/>
    </xf>
    <xf numFmtId="10" fontId="19" fillId="0" borderId="2" xfId="3" applyNumberFormat="1" applyFont="1" applyBorder="1" applyAlignment="1">
      <alignment horizontal="center" vertical="center"/>
    </xf>
    <xf numFmtId="10" fontId="19" fillId="0" borderId="20" xfId="3" applyNumberFormat="1" applyFont="1" applyBorder="1" applyAlignment="1">
      <alignment horizontal="center" vertical="center"/>
    </xf>
    <xf numFmtId="10" fontId="19" fillId="0" borderId="2" xfId="3" applyNumberFormat="1" applyFont="1" applyBorder="1" applyAlignment="1">
      <alignment horizontal="center" vertical="center" wrapText="1"/>
    </xf>
    <xf numFmtId="10" fontId="19" fillId="0" borderId="20" xfId="3" applyNumberFormat="1" applyFont="1" applyBorder="1" applyAlignment="1">
      <alignment horizontal="center" vertical="center" wrapText="1"/>
    </xf>
    <xf numFmtId="0" fontId="19" fillId="0" borderId="8" xfId="5" applyFont="1" applyBorder="1" applyAlignment="1">
      <alignment horizontal="center"/>
    </xf>
    <xf numFmtId="10" fontId="19" fillId="0" borderId="50" xfId="3" applyNumberFormat="1" applyFont="1" applyBorder="1" applyAlignment="1">
      <alignment horizontal="center" vertical="center"/>
    </xf>
    <xf numFmtId="10" fontId="19" fillId="8" borderId="2" xfId="3" applyNumberFormat="1" applyFont="1" applyFill="1" applyBorder="1" applyAlignment="1" applyProtection="1">
      <alignment horizontal="center" vertical="center"/>
      <protection locked="0"/>
    </xf>
    <xf numFmtId="0" fontId="17" fillId="7" borderId="2" xfId="3" applyFont="1" applyFill="1" applyBorder="1" applyAlignment="1">
      <alignment horizontal="center" vertical="center"/>
    </xf>
    <xf numFmtId="10" fontId="17" fillId="7" borderId="2" xfId="3" applyNumberFormat="1" applyFont="1" applyFill="1" applyBorder="1" applyAlignment="1">
      <alignment horizontal="center" vertical="center"/>
    </xf>
    <xf numFmtId="10" fontId="17" fillId="7" borderId="2" xfId="3" applyNumberFormat="1" applyFont="1" applyFill="1" applyBorder="1" applyAlignment="1">
      <alignment horizontal="center" vertical="center" wrapText="1"/>
    </xf>
    <xf numFmtId="0" fontId="17" fillId="7" borderId="2" xfId="3" applyFont="1" applyFill="1" applyBorder="1" applyAlignment="1">
      <alignment horizontal="center" vertical="center" wrapText="1"/>
    </xf>
    <xf numFmtId="0" fontId="18" fillId="7" borderId="2" xfId="5" applyFont="1" applyFill="1" applyBorder="1"/>
    <xf numFmtId="0" fontId="19" fillId="0" borderId="57" xfId="3" applyFont="1" applyBorder="1" applyAlignment="1">
      <alignment vertical="center"/>
    </xf>
    <xf numFmtId="0" fontId="19" fillId="0" borderId="58" xfId="3" applyFont="1" applyBorder="1" applyAlignment="1">
      <alignment vertical="center"/>
    </xf>
    <xf numFmtId="0" fontId="17" fillId="7" borderId="20" xfId="3" applyFont="1" applyFill="1" applyBorder="1" applyAlignment="1">
      <alignment horizontal="center" vertical="center"/>
    </xf>
    <xf numFmtId="10" fontId="17" fillId="7" borderId="20" xfId="3" applyNumberFormat="1" applyFont="1" applyFill="1" applyBorder="1" applyAlignment="1">
      <alignment horizontal="center" vertical="center" wrapText="1"/>
    </xf>
    <xf numFmtId="0" fontId="18" fillId="7" borderId="20" xfId="5" applyFont="1" applyFill="1" applyBorder="1"/>
    <xf numFmtId="0" fontId="19" fillId="0" borderId="57" xfId="5" applyFont="1" applyBorder="1"/>
    <xf numFmtId="0" fontId="19" fillId="0" borderId="0" xfId="5" applyFont="1"/>
    <xf numFmtId="0" fontId="37" fillId="0" borderId="57" xfId="5" applyFont="1" applyBorder="1"/>
    <xf numFmtId="0" fontId="37" fillId="0" borderId="0" xfId="5" applyFont="1"/>
    <xf numFmtId="0" fontId="37" fillId="0" borderId="0" xfId="5" applyFont="1" applyAlignment="1">
      <alignment horizontal="center"/>
    </xf>
    <xf numFmtId="10" fontId="37" fillId="0" borderId="58" xfId="3" applyNumberFormat="1" applyFont="1" applyBorder="1" applyAlignment="1">
      <alignment horizontal="center" vertical="center"/>
    </xf>
    <xf numFmtId="0" fontId="4" fillId="0" borderId="57" xfId="3" applyFont="1" applyBorder="1" applyAlignment="1">
      <alignment horizontal="center" vertical="center"/>
    </xf>
    <xf numFmtId="0" fontId="4" fillId="0" borderId="0" xfId="3" applyFont="1" applyAlignment="1">
      <alignment horizontal="center" vertical="center"/>
    </xf>
    <xf numFmtId="10" fontId="4" fillId="0" borderId="58" xfId="3" applyNumberFormat="1" applyFont="1" applyBorder="1" applyAlignment="1">
      <alignment horizontal="center" vertical="center"/>
    </xf>
    <xf numFmtId="0" fontId="4" fillId="0" borderId="64" xfId="3" applyFont="1" applyBorder="1" applyAlignment="1">
      <alignment horizontal="center" vertical="center"/>
    </xf>
    <xf numFmtId="0" fontId="4" fillId="0" borderId="21" xfId="3" applyFont="1" applyBorder="1" applyAlignment="1">
      <alignment horizontal="center" vertical="center"/>
    </xf>
    <xf numFmtId="0" fontId="4" fillId="0" borderId="22" xfId="3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7" fillId="0" borderId="0" xfId="0" applyFont="1" applyAlignment="1">
      <alignment wrapText="1"/>
    </xf>
    <xf numFmtId="17" fontId="12" fillId="0" borderId="2" xfId="0" applyNumberFormat="1" applyFont="1" applyBorder="1" applyAlignment="1">
      <alignment horizontal="center" vertical="center"/>
    </xf>
    <xf numFmtId="17" fontId="12" fillId="5" borderId="8" xfId="0" applyNumberFormat="1" applyFont="1" applyFill="1" applyBorder="1" applyAlignment="1">
      <alignment horizontal="center" vertical="center"/>
    </xf>
    <xf numFmtId="17" fontId="26" fillId="0" borderId="2" xfId="0" applyNumberFormat="1" applyFont="1" applyBorder="1" applyAlignment="1">
      <alignment horizontal="center" vertical="center" wrapText="1"/>
    </xf>
    <xf numFmtId="17" fontId="26" fillId="0" borderId="20" xfId="0" applyNumberFormat="1" applyFont="1" applyBorder="1" applyAlignment="1">
      <alignment horizontal="center" vertical="center" wrapText="1"/>
    </xf>
    <xf numFmtId="0" fontId="12" fillId="5" borderId="76" xfId="0" applyFont="1" applyFill="1" applyBorder="1" applyAlignment="1">
      <alignment horizontal="center" vertical="center"/>
    </xf>
    <xf numFmtId="0" fontId="45" fillId="0" borderId="76" xfId="0" applyFont="1" applyBorder="1" applyAlignment="1">
      <alignment horizontal="center" vertical="center"/>
    </xf>
    <xf numFmtId="0" fontId="0" fillId="0" borderId="76" xfId="0" applyBorder="1" applyAlignment="1">
      <alignment horizontal="center"/>
    </xf>
    <xf numFmtId="0" fontId="45" fillId="0" borderId="76" xfId="0" applyFont="1" applyBorder="1" applyAlignment="1">
      <alignment horizontal="center"/>
    </xf>
    <xf numFmtId="0" fontId="12" fillId="5" borderId="31" xfId="0" applyFont="1" applyFill="1" applyBorder="1" applyAlignment="1">
      <alignment horizontal="center" vertical="center"/>
    </xf>
    <xf numFmtId="0" fontId="12" fillId="5" borderId="77" xfId="0" applyFont="1" applyFill="1" applyBorder="1" applyAlignment="1">
      <alignment horizontal="center" vertical="center"/>
    </xf>
    <xf numFmtId="17" fontId="21" fillId="0" borderId="2" xfId="0" applyNumberFormat="1" applyFont="1" applyBorder="1" applyAlignment="1">
      <alignment horizontal="center" vertical="center" wrapText="1"/>
    </xf>
    <xf numFmtId="10" fontId="21" fillId="0" borderId="2" xfId="0" applyNumberFormat="1" applyFont="1" applyBorder="1" applyAlignment="1">
      <alignment horizontal="center" vertical="center" wrapText="1"/>
    </xf>
    <xf numFmtId="10" fontId="21" fillId="0" borderId="20" xfId="0" applyNumberFormat="1" applyFont="1" applyBorder="1" applyAlignment="1">
      <alignment horizontal="center" vertical="center" wrapText="1"/>
    </xf>
    <xf numFmtId="164" fontId="21" fillId="0" borderId="20" xfId="0" applyNumberFormat="1" applyFont="1" applyBorder="1" applyAlignment="1">
      <alignment horizontal="center" vertical="center"/>
    </xf>
    <xf numFmtId="4" fontId="21" fillId="0" borderId="2" xfId="0" applyNumberFormat="1" applyFont="1" applyBorder="1" applyAlignment="1">
      <alignment horizontal="center" vertical="center" wrapText="1"/>
    </xf>
    <xf numFmtId="4" fontId="21" fillId="0" borderId="20" xfId="0" applyNumberFormat="1" applyFont="1" applyBorder="1" applyAlignment="1">
      <alignment horizontal="center" vertical="center" wrapText="1"/>
    </xf>
    <xf numFmtId="17" fontId="12" fillId="0" borderId="2" xfId="0" applyNumberFormat="1" applyFont="1" applyBorder="1" applyAlignment="1">
      <alignment horizontal="center" vertical="center" wrapText="1"/>
    </xf>
    <xf numFmtId="17" fontId="12" fillId="5" borderId="2" xfId="0" applyNumberFormat="1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vertical="center" wrapText="1"/>
    </xf>
    <xf numFmtId="10" fontId="13" fillId="5" borderId="30" xfId="0" applyNumberFormat="1" applyFont="1" applyFill="1" applyBorder="1" applyAlignment="1">
      <alignment horizontal="center" vertical="center"/>
    </xf>
    <xf numFmtId="8" fontId="23" fillId="12" borderId="18" xfId="0" applyNumberFormat="1" applyFont="1" applyFill="1" applyBorder="1" applyAlignment="1">
      <alignment horizontal="center" vertical="center" wrapText="1"/>
    </xf>
    <xf numFmtId="8" fontId="23" fillId="14" borderId="2" xfId="0" applyNumberFormat="1" applyFont="1" applyFill="1" applyBorder="1"/>
    <xf numFmtId="164" fontId="7" fillId="6" borderId="33" xfId="0" applyNumberFormat="1" applyFont="1" applyFill="1" applyBorder="1" applyAlignment="1">
      <alignment horizontal="center" vertical="center"/>
    </xf>
    <xf numFmtId="164" fontId="7" fillId="2" borderId="41" xfId="0" applyNumberFormat="1" applyFont="1" applyFill="1" applyBorder="1" applyAlignment="1">
      <alignment horizontal="center" vertical="center"/>
    </xf>
    <xf numFmtId="10" fontId="13" fillId="5" borderId="30" xfId="1" applyNumberFormat="1" applyFont="1" applyFill="1" applyBorder="1" applyAlignment="1">
      <alignment horizontal="center" vertical="center"/>
    </xf>
    <xf numFmtId="10" fontId="46" fillId="8" borderId="30" xfId="0" applyNumberFormat="1" applyFont="1" applyFill="1" applyBorder="1" applyAlignment="1">
      <alignment horizontal="center" vertical="center"/>
    </xf>
    <xf numFmtId="10" fontId="43" fillId="7" borderId="30" xfId="0" applyNumberFormat="1" applyFont="1" applyFill="1" applyBorder="1" applyAlignment="1">
      <alignment horizontal="center" vertical="center"/>
    </xf>
    <xf numFmtId="10" fontId="47" fillId="8" borderId="30" xfId="1" applyNumberFormat="1" applyFont="1" applyFill="1" applyBorder="1" applyAlignment="1">
      <alignment horizontal="center" vertical="center"/>
    </xf>
    <xf numFmtId="10" fontId="13" fillId="0" borderId="30" xfId="0" applyNumberFormat="1" applyFont="1" applyBorder="1" applyAlignment="1">
      <alignment horizontal="center" vertical="center"/>
    </xf>
    <xf numFmtId="10" fontId="13" fillId="0" borderId="36" xfId="0" applyNumberFormat="1" applyFont="1" applyBorder="1" applyAlignment="1">
      <alignment horizontal="center" vertical="center"/>
    </xf>
    <xf numFmtId="0" fontId="48" fillId="5" borderId="8" xfId="0" applyFont="1" applyFill="1" applyBorder="1" applyAlignment="1">
      <alignment horizontal="justify" vertical="center" wrapText="1"/>
    </xf>
    <xf numFmtId="0" fontId="48" fillId="5" borderId="2" xfId="0" applyFont="1" applyFill="1" applyBorder="1" applyAlignment="1">
      <alignment horizontal="justify" vertical="center" wrapText="1"/>
    </xf>
    <xf numFmtId="0" fontId="12" fillId="0" borderId="2" xfId="0" quotePrefix="1" applyFont="1" applyBorder="1" applyAlignment="1">
      <alignment horizontal="center" vertical="center"/>
    </xf>
    <xf numFmtId="8" fontId="0" fillId="0" borderId="0" xfId="0" applyNumberFormat="1" applyAlignment="1">
      <alignment horizontal="center"/>
    </xf>
    <xf numFmtId="10" fontId="21" fillId="0" borderId="0" xfId="0" applyNumberFormat="1" applyFont="1" applyAlignment="1">
      <alignment vertical="center"/>
    </xf>
    <xf numFmtId="4" fontId="50" fillId="0" borderId="2" xfId="3" applyNumberFormat="1" applyFont="1" applyBorder="1" applyAlignment="1">
      <alignment horizontal="center" vertical="center"/>
    </xf>
    <xf numFmtId="4" fontId="50" fillId="7" borderId="2" xfId="3" applyNumberFormat="1" applyFont="1" applyFill="1" applyBorder="1" applyAlignment="1">
      <alignment horizontal="center" vertical="center"/>
    </xf>
    <xf numFmtId="0" fontId="29" fillId="0" borderId="14" xfId="0" applyFont="1" applyBorder="1" applyAlignment="1">
      <alignment vertical="center" wrapText="1"/>
    </xf>
    <xf numFmtId="8" fontId="29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8" fontId="17" fillId="6" borderId="43" xfId="0" applyNumberFormat="1" applyFont="1" applyFill="1" applyBorder="1" applyAlignment="1">
      <alignment horizontal="center" vertical="center" wrapText="1"/>
    </xf>
    <xf numFmtId="0" fontId="20" fillId="0" borderId="57" xfId="0" applyFont="1" applyBorder="1" applyAlignment="1">
      <alignment horizontal="center" vertical="center" wrapText="1"/>
    </xf>
    <xf numFmtId="0" fontId="21" fillId="0" borderId="58" xfId="0" applyFont="1" applyBorder="1" applyAlignment="1">
      <alignment vertical="center" wrapText="1"/>
    </xf>
    <xf numFmtId="8" fontId="21" fillId="0" borderId="0" xfId="0" applyNumberFormat="1" applyFont="1" applyAlignment="1">
      <alignment vertical="center"/>
    </xf>
    <xf numFmtId="2" fontId="21" fillId="0" borderId="2" xfId="0" applyNumberFormat="1" applyFont="1" applyBorder="1" applyAlignment="1">
      <alignment horizontal="center" vertical="center" wrapText="1"/>
    </xf>
    <xf numFmtId="2" fontId="21" fillId="0" borderId="20" xfId="0" applyNumberFormat="1" applyFont="1" applyBorder="1" applyAlignment="1">
      <alignment horizontal="center" vertical="center" wrapText="1"/>
    </xf>
    <xf numFmtId="0" fontId="48" fillId="0" borderId="0" xfId="0" applyFont="1" applyAlignment="1">
      <alignment horizontal="left" vertical="center" wrapText="1"/>
    </xf>
    <xf numFmtId="8" fontId="15" fillId="0" borderId="0" xfId="0" applyNumberFormat="1" applyFont="1" applyAlignment="1">
      <alignment vertical="center"/>
    </xf>
    <xf numFmtId="164" fontId="27" fillId="0" borderId="0" xfId="0" applyNumberFormat="1" applyFont="1" applyAlignment="1">
      <alignment horizontal="center"/>
    </xf>
    <xf numFmtId="0" fontId="27" fillId="0" borderId="0" xfId="0" applyFont="1" applyAlignment="1">
      <alignment vertical="center" wrapText="1"/>
    </xf>
    <xf numFmtId="0" fontId="51" fillId="0" borderId="36" xfId="0" applyFont="1" applyBorder="1" applyAlignment="1">
      <alignment vertical="center"/>
    </xf>
    <xf numFmtId="10" fontId="43" fillId="7" borderId="30" xfId="1" applyNumberFormat="1" applyFont="1" applyFill="1" applyBorder="1" applyAlignment="1">
      <alignment horizontal="center" vertical="center"/>
    </xf>
    <xf numFmtId="10" fontId="13" fillId="0" borderId="30" xfId="1" applyNumberFormat="1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52" fillId="0" borderId="0" xfId="0" applyFont="1" applyAlignment="1">
      <alignment vertical="center"/>
    </xf>
    <xf numFmtId="0" fontId="52" fillId="6" borderId="17" xfId="0" applyFont="1" applyFill="1" applyBorder="1" applyAlignment="1">
      <alignment horizontal="center" vertical="center"/>
    </xf>
    <xf numFmtId="0" fontId="52" fillId="6" borderId="19" xfId="0" applyFont="1" applyFill="1" applyBorder="1" applyAlignment="1">
      <alignment horizontal="center" vertical="center"/>
    </xf>
    <xf numFmtId="0" fontId="52" fillId="7" borderId="14" xfId="0" applyFont="1" applyFill="1" applyBorder="1" applyAlignment="1">
      <alignment horizontal="center" vertical="center"/>
    </xf>
    <xf numFmtId="0" fontId="52" fillId="7" borderId="20" xfId="0" applyFont="1" applyFill="1" applyBorder="1" applyAlignment="1">
      <alignment horizontal="right" vertical="center" wrapText="1"/>
    </xf>
    <xf numFmtId="0" fontId="52" fillId="0" borderId="0" xfId="0" applyFont="1" applyAlignment="1">
      <alignment horizontal="center" vertical="center"/>
    </xf>
    <xf numFmtId="0" fontId="52" fillId="7" borderId="20" xfId="0" applyFont="1" applyFill="1" applyBorder="1" applyAlignment="1">
      <alignment horizontal="center" vertical="center"/>
    </xf>
    <xf numFmtId="0" fontId="53" fillId="8" borderId="14" xfId="0" applyFont="1" applyFill="1" applyBorder="1" applyAlignment="1">
      <alignment horizontal="center" vertical="center"/>
    </xf>
    <xf numFmtId="0" fontId="53" fillId="8" borderId="20" xfId="0" applyFont="1" applyFill="1" applyBorder="1" applyAlignment="1">
      <alignment horizontal="left" vertical="center" wrapText="1"/>
    </xf>
    <xf numFmtId="0" fontId="53" fillId="0" borderId="0" xfId="0" applyFont="1" applyAlignment="1">
      <alignment horizontal="left" vertical="center"/>
    </xf>
    <xf numFmtId="10" fontId="53" fillId="8" borderId="14" xfId="1" applyNumberFormat="1" applyFont="1" applyFill="1" applyBorder="1" applyAlignment="1">
      <alignment horizontal="center" vertical="center"/>
    </xf>
    <xf numFmtId="164" fontId="53" fillId="8" borderId="20" xfId="0" applyNumberFormat="1" applyFont="1" applyFill="1" applyBorder="1" applyAlignment="1">
      <alignment horizontal="center" vertical="center"/>
    </xf>
    <xf numFmtId="0" fontId="54" fillId="0" borderId="14" xfId="0" applyFont="1" applyBorder="1" applyAlignment="1">
      <alignment horizontal="center" vertical="center"/>
    </xf>
    <xf numFmtId="0" fontId="54" fillId="0" borderId="20" xfId="0" applyFont="1" applyBorder="1" applyAlignment="1">
      <alignment horizontal="left" vertical="center" wrapText="1"/>
    </xf>
    <xf numFmtId="0" fontId="54" fillId="0" borderId="0" xfId="0" applyFont="1" applyAlignment="1">
      <alignment horizontal="left" vertical="center"/>
    </xf>
    <xf numFmtId="10" fontId="54" fillId="0" borderId="14" xfId="1" applyNumberFormat="1" applyFont="1" applyBorder="1" applyAlignment="1">
      <alignment horizontal="center" vertical="center"/>
    </xf>
    <xf numFmtId="164" fontId="54" fillId="0" borderId="20" xfId="0" applyNumberFormat="1" applyFont="1" applyBorder="1" applyAlignment="1">
      <alignment horizontal="center" vertical="center"/>
    </xf>
    <xf numFmtId="0" fontId="52" fillId="0" borderId="0" xfId="0" applyFont="1" applyAlignment="1">
      <alignment horizontal="left" vertical="center"/>
    </xf>
    <xf numFmtId="0" fontId="54" fillId="0" borderId="0" xfId="0" applyFont="1" applyAlignment="1">
      <alignment horizontal="left" vertical="center" wrapText="1"/>
    </xf>
    <xf numFmtId="10" fontId="52" fillId="7" borderId="14" xfId="1" applyNumberFormat="1" applyFont="1" applyFill="1" applyBorder="1" applyAlignment="1">
      <alignment horizontal="center" vertical="center"/>
    </xf>
    <xf numFmtId="164" fontId="52" fillId="7" borderId="20" xfId="0" applyNumberFormat="1" applyFont="1" applyFill="1" applyBorder="1" applyAlignment="1">
      <alignment horizontal="center" vertical="center"/>
    </xf>
    <xf numFmtId="0" fontId="54" fillId="0" borderId="20" xfId="0" applyFont="1" applyBorder="1" applyAlignment="1">
      <alignment horizontal="center" vertical="center" wrapText="1"/>
    </xf>
    <xf numFmtId="0" fontId="54" fillId="0" borderId="0" xfId="0" applyFont="1" applyAlignment="1">
      <alignment horizontal="center" vertical="center"/>
    </xf>
    <xf numFmtId="0" fontId="54" fillId="0" borderId="20" xfId="0" applyFont="1" applyBorder="1" applyAlignment="1">
      <alignment horizontal="center" vertical="center"/>
    </xf>
    <xf numFmtId="0" fontId="52" fillId="7" borderId="20" xfId="0" applyFont="1" applyFill="1" applyBorder="1" applyAlignment="1">
      <alignment horizontal="left" vertical="center" wrapText="1"/>
    </xf>
    <xf numFmtId="10" fontId="52" fillId="6" borderId="15" xfId="1" applyNumberFormat="1" applyFont="1" applyFill="1" applyBorder="1" applyAlignment="1">
      <alignment horizontal="center" vertical="center"/>
    </xf>
    <xf numFmtId="164" fontId="52" fillId="6" borderId="43" xfId="0" applyNumberFormat="1" applyFont="1" applyFill="1" applyBorder="1" applyAlignment="1">
      <alignment horizontal="center" vertical="center"/>
    </xf>
    <xf numFmtId="0" fontId="22" fillId="6" borderId="12" xfId="0" applyFont="1" applyFill="1" applyBorder="1" applyAlignment="1">
      <alignment horizontal="center" vertical="center"/>
    </xf>
    <xf numFmtId="0" fontId="22" fillId="6" borderId="59" xfId="0" applyFont="1" applyFill="1" applyBorder="1" applyAlignment="1">
      <alignment horizontal="center" vertical="center" wrapText="1"/>
    </xf>
    <xf numFmtId="0" fontId="22" fillId="6" borderId="59" xfId="0" applyFont="1" applyFill="1" applyBorder="1" applyAlignment="1">
      <alignment horizontal="center" vertical="center"/>
    </xf>
    <xf numFmtId="9" fontId="23" fillId="0" borderId="57" xfId="1" applyFont="1" applyBorder="1" applyAlignment="1">
      <alignment horizontal="center" vertical="center"/>
    </xf>
    <xf numFmtId="0" fontId="23" fillId="0" borderId="57" xfId="0" applyFont="1" applyBorder="1" applyAlignment="1">
      <alignment horizontal="center" vertical="center"/>
    </xf>
    <xf numFmtId="10" fontId="23" fillId="0" borderId="58" xfId="0" applyNumberFormat="1" applyFont="1" applyBorder="1" applyAlignment="1">
      <alignment horizontal="center" vertical="center"/>
    </xf>
    <xf numFmtId="10" fontId="23" fillId="0" borderId="57" xfId="0" applyNumberFormat="1" applyFont="1" applyBorder="1" applyAlignment="1">
      <alignment horizontal="center" vertical="center"/>
    </xf>
    <xf numFmtId="0" fontId="23" fillId="0" borderId="58" xfId="0" applyFont="1" applyBorder="1" applyAlignment="1">
      <alignment horizontal="center" vertical="center"/>
    </xf>
    <xf numFmtId="0" fontId="22" fillId="0" borderId="0" xfId="0" applyFont="1" applyAlignment="1">
      <alignment vertical="center" wrapText="1"/>
    </xf>
    <xf numFmtId="164" fontId="21" fillId="0" borderId="43" xfId="0" applyNumberFormat="1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4" fillId="8" borderId="3" xfId="0" applyFont="1" applyFill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10" fontId="23" fillId="0" borderId="58" xfId="1" applyNumberFormat="1" applyFont="1" applyBorder="1" applyAlignment="1">
      <alignment horizontal="center" vertical="center"/>
    </xf>
    <xf numFmtId="10" fontId="23" fillId="0" borderId="57" xfId="1" applyNumberFormat="1" applyFont="1" applyBorder="1" applyAlignment="1">
      <alignment horizontal="center" vertical="center"/>
    </xf>
    <xf numFmtId="164" fontId="21" fillId="0" borderId="0" xfId="0" applyNumberFormat="1" applyFont="1" applyAlignment="1">
      <alignment vertical="center"/>
    </xf>
    <xf numFmtId="0" fontId="31" fillId="4" borderId="4" xfId="0" applyFont="1" applyFill="1" applyBorder="1" applyAlignment="1">
      <alignment horizontal="center" vertical="center" wrapText="1"/>
    </xf>
    <xf numFmtId="0" fontId="26" fillId="4" borderId="2" xfId="0" applyFont="1" applyFill="1" applyBorder="1" applyAlignment="1">
      <alignment horizontal="center" vertical="center" wrapText="1"/>
    </xf>
    <xf numFmtId="17" fontId="26" fillId="4" borderId="2" xfId="0" applyNumberFormat="1" applyFont="1" applyFill="1" applyBorder="1" applyAlignment="1">
      <alignment horizontal="center" vertical="center" wrapText="1"/>
    </xf>
    <xf numFmtId="8" fontId="29" fillId="4" borderId="20" xfId="0" applyNumberFormat="1" applyFont="1" applyFill="1" applyBorder="1" applyAlignment="1">
      <alignment horizontal="center" vertical="center" wrapText="1"/>
    </xf>
    <xf numFmtId="0" fontId="57" fillId="0" borderId="0" xfId="0" applyFont="1"/>
    <xf numFmtId="8" fontId="21" fillId="4" borderId="2" xfId="0" applyNumberFormat="1" applyFont="1" applyFill="1" applyBorder="1" applyAlignment="1">
      <alignment horizontal="center" vertical="center" wrapText="1"/>
    </xf>
    <xf numFmtId="164" fontId="21" fillId="4" borderId="2" xfId="0" applyNumberFormat="1" applyFont="1" applyFill="1" applyBorder="1" applyAlignment="1">
      <alignment horizontal="center" vertical="center" wrapText="1"/>
    </xf>
    <xf numFmtId="164" fontId="15" fillId="0" borderId="0" xfId="0" applyNumberFormat="1" applyFont="1" applyAlignment="1">
      <alignment vertical="center"/>
    </xf>
    <xf numFmtId="0" fontId="26" fillId="0" borderId="0" xfId="0" applyFont="1" applyAlignment="1">
      <alignment vertical="center" wrapText="1"/>
    </xf>
    <xf numFmtId="0" fontId="22" fillId="6" borderId="76" xfId="0" applyFont="1" applyFill="1" applyBorder="1" applyAlignment="1">
      <alignment horizontal="center" vertical="center" wrapText="1"/>
    </xf>
    <xf numFmtId="0" fontId="22" fillId="6" borderId="76" xfId="0" applyFont="1" applyFill="1" applyBorder="1" applyAlignment="1">
      <alignment vertical="center"/>
    </xf>
    <xf numFmtId="0" fontId="23" fillId="0" borderId="76" xfId="0" applyFont="1" applyBorder="1" applyAlignment="1">
      <alignment horizontal="center" vertical="center" wrapText="1"/>
    </xf>
    <xf numFmtId="0" fontId="23" fillId="0" borderId="76" xfId="0" applyFont="1" applyBorder="1" applyAlignment="1">
      <alignment horizontal="left" vertical="center" wrapText="1"/>
    </xf>
    <xf numFmtId="0" fontId="23" fillId="4" borderId="76" xfId="0" applyFont="1" applyFill="1" applyBorder="1"/>
    <xf numFmtId="0" fontId="23" fillId="0" borderId="76" xfId="0" applyFont="1" applyBorder="1"/>
    <xf numFmtId="0" fontId="24" fillId="0" borderId="76" xfId="0" applyFont="1" applyBorder="1" applyAlignment="1">
      <alignment vertical="center" wrapText="1"/>
    </xf>
    <xf numFmtId="0" fontId="23" fillId="9" borderId="76" xfId="0" applyFont="1" applyFill="1" applyBorder="1"/>
    <xf numFmtId="0" fontId="25" fillId="9" borderId="76" xfId="0" applyFont="1" applyFill="1" applyBorder="1" applyAlignment="1">
      <alignment horizontal="center" vertical="center" wrapText="1"/>
    </xf>
    <xf numFmtId="0" fontId="23" fillId="12" borderId="76" xfId="0" applyFont="1" applyFill="1" applyBorder="1" applyAlignment="1">
      <alignment horizontal="center" vertical="center" wrapText="1"/>
    </xf>
    <xf numFmtId="0" fontId="23" fillId="12" borderId="76" xfId="0" applyFont="1" applyFill="1" applyBorder="1" applyAlignment="1">
      <alignment vertical="center" wrapText="1"/>
    </xf>
    <xf numFmtId="164" fontId="23" fillId="12" borderId="76" xfId="0" applyNumberFormat="1" applyFont="1" applyFill="1" applyBorder="1" applyAlignment="1">
      <alignment horizontal="center" vertical="center"/>
    </xf>
    <xf numFmtId="0" fontId="23" fillId="13" borderId="76" xfId="0" applyFont="1" applyFill="1" applyBorder="1" applyAlignment="1">
      <alignment vertical="center" wrapText="1"/>
    </xf>
    <xf numFmtId="10" fontId="23" fillId="13" borderId="76" xfId="1" applyNumberFormat="1" applyFont="1" applyFill="1" applyBorder="1" applyAlignment="1">
      <alignment horizontal="center" vertical="center"/>
    </xf>
    <xf numFmtId="0" fontId="23" fillId="14" borderId="76" xfId="0" applyFont="1" applyFill="1" applyBorder="1" applyAlignment="1">
      <alignment vertical="center" wrapText="1"/>
    </xf>
    <xf numFmtId="164" fontId="23" fillId="14" borderId="76" xfId="0" applyNumberFormat="1" applyFont="1" applyFill="1" applyBorder="1" applyAlignment="1">
      <alignment horizontal="center" vertical="center"/>
    </xf>
    <xf numFmtId="0" fontId="23" fillId="15" borderId="76" xfId="0" applyFont="1" applyFill="1" applyBorder="1" applyAlignment="1">
      <alignment vertical="center" wrapText="1"/>
    </xf>
    <xf numFmtId="10" fontId="23" fillId="15" borderId="76" xfId="1" applyNumberFormat="1" applyFont="1" applyFill="1" applyBorder="1" applyAlignment="1">
      <alignment horizontal="center" vertical="center"/>
    </xf>
    <xf numFmtId="0" fontId="23" fillId="10" borderId="76" xfId="0" applyFont="1" applyFill="1" applyBorder="1" applyAlignment="1">
      <alignment vertical="center" wrapText="1"/>
    </xf>
    <xf numFmtId="164" fontId="23" fillId="10" borderId="76" xfId="0" applyNumberFormat="1" applyFont="1" applyFill="1" applyBorder="1" applyAlignment="1">
      <alignment horizontal="center" vertical="center"/>
    </xf>
    <xf numFmtId="0" fontId="23" fillId="11" borderId="76" xfId="0" applyFont="1" applyFill="1" applyBorder="1" applyAlignment="1">
      <alignment vertical="center" wrapText="1"/>
    </xf>
    <xf numFmtId="10" fontId="23" fillId="11" borderId="76" xfId="1" applyNumberFormat="1" applyFont="1" applyFill="1" applyBorder="1" applyAlignment="1">
      <alignment horizontal="center" vertical="center"/>
    </xf>
    <xf numFmtId="0" fontId="24" fillId="9" borderId="76" xfId="0" applyFont="1" applyFill="1" applyBorder="1" applyAlignment="1">
      <alignment vertical="center" wrapText="1"/>
    </xf>
    <xf numFmtId="10" fontId="23" fillId="13" borderId="76" xfId="1" applyNumberFormat="1" applyFont="1" applyFill="1" applyBorder="1" applyAlignment="1">
      <alignment horizontal="center" vertical="center" wrapText="1"/>
    </xf>
    <xf numFmtId="8" fontId="23" fillId="14" borderId="76" xfId="0" applyNumberFormat="1" applyFont="1" applyFill="1" applyBorder="1"/>
    <xf numFmtId="164" fontId="23" fillId="14" borderId="76" xfId="0" applyNumberFormat="1" applyFont="1" applyFill="1" applyBorder="1" applyAlignment="1">
      <alignment horizontal="center" vertical="center" wrapText="1"/>
    </xf>
    <xf numFmtId="10" fontId="23" fillId="11" borderId="76" xfId="1" applyNumberFormat="1" applyFont="1" applyFill="1" applyBorder="1" applyAlignment="1">
      <alignment horizontal="center" vertical="center" wrapText="1"/>
    </xf>
    <xf numFmtId="0" fontId="48" fillId="0" borderId="29" xfId="0" applyFont="1" applyBorder="1" applyAlignment="1">
      <alignment horizontal="center" vertical="center"/>
    </xf>
    <xf numFmtId="0" fontId="12" fillId="0" borderId="8" xfId="0" applyFont="1" applyBorder="1" applyAlignment="1">
      <alignment horizontal="justify" vertical="center" wrapText="1"/>
    </xf>
    <xf numFmtId="0" fontId="48" fillId="0" borderId="2" xfId="0" applyFont="1" applyBorder="1" applyAlignment="1">
      <alignment vertical="center" wrapText="1"/>
    </xf>
    <xf numFmtId="0" fontId="21" fillId="0" borderId="16" xfId="0" applyFont="1" applyBorder="1" applyAlignment="1">
      <alignment horizontal="center" vertical="center"/>
    </xf>
    <xf numFmtId="0" fontId="48" fillId="0" borderId="2" xfId="0" applyFont="1" applyBorder="1" applyAlignment="1">
      <alignment vertical="center"/>
    </xf>
    <xf numFmtId="0" fontId="23" fillId="3" borderId="0" xfId="0" applyFont="1" applyFill="1" applyAlignment="1">
      <alignment horizontal="center" vertical="center" wrapText="1"/>
    </xf>
    <xf numFmtId="0" fontId="23" fillId="3" borderId="0" xfId="0" applyFont="1" applyFill="1" applyAlignment="1">
      <alignment vertical="center" wrapText="1"/>
    </xf>
    <xf numFmtId="10" fontId="23" fillId="3" borderId="0" xfId="1" applyNumberFormat="1" applyFont="1" applyFill="1" applyBorder="1" applyAlignment="1">
      <alignment horizontal="center" vertical="center"/>
    </xf>
    <xf numFmtId="10" fontId="24" fillId="3" borderId="0" xfId="1" applyNumberFormat="1" applyFont="1" applyFill="1" applyBorder="1" applyAlignment="1">
      <alignment horizontal="center" vertical="center" wrapText="1"/>
    </xf>
    <xf numFmtId="0" fontId="15" fillId="3" borderId="0" xfId="0" applyFont="1" applyFill="1"/>
    <xf numFmtId="0" fontId="12" fillId="5" borderId="2" xfId="0" quotePrefix="1" applyFont="1" applyFill="1" applyBorder="1" applyAlignment="1">
      <alignment horizontal="justify" vertical="center" wrapText="1"/>
    </xf>
    <xf numFmtId="164" fontId="15" fillId="0" borderId="0" xfId="0" applyNumberFormat="1" applyFont="1"/>
    <xf numFmtId="0" fontId="23" fillId="9" borderId="76" xfId="0" applyFont="1" applyFill="1" applyBorder="1" applyAlignment="1">
      <alignment vertical="center"/>
    </xf>
    <xf numFmtId="0" fontId="25" fillId="0" borderId="76" xfId="0" applyFont="1" applyBorder="1" applyAlignment="1">
      <alignment horizontal="center" vertical="center" wrapText="1"/>
    </xf>
    <xf numFmtId="0" fontId="23" fillId="0" borderId="76" xfId="0" applyFont="1" applyBorder="1" applyAlignment="1">
      <alignment vertical="center"/>
    </xf>
    <xf numFmtId="0" fontId="23" fillId="4" borderId="76" xfId="0" applyFont="1" applyFill="1" applyBorder="1" applyAlignment="1">
      <alignment vertical="center"/>
    </xf>
    <xf numFmtId="0" fontId="5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6" borderId="0" xfId="0" applyFill="1" applyAlignment="1">
      <alignment horizontal="center" vertical="center"/>
    </xf>
    <xf numFmtId="0" fontId="10" fillId="16" borderId="0" xfId="0" applyFont="1" applyFill="1" applyAlignment="1">
      <alignment horizontal="center" vertical="center"/>
    </xf>
    <xf numFmtId="0" fontId="12" fillId="17" borderId="76" xfId="0" applyFont="1" applyFill="1" applyBorder="1" applyAlignment="1">
      <alignment horizontal="center" vertical="center"/>
    </xf>
    <xf numFmtId="0" fontId="12" fillId="17" borderId="77" xfId="0" applyFont="1" applyFill="1" applyBorder="1" applyAlignment="1">
      <alignment horizontal="center" vertical="center"/>
    </xf>
    <xf numFmtId="17" fontId="12" fillId="17" borderId="8" xfId="0" applyNumberFormat="1" applyFont="1" applyFill="1" applyBorder="1" applyAlignment="1">
      <alignment horizontal="center" vertical="center"/>
    </xf>
    <xf numFmtId="0" fontId="10" fillId="16" borderId="76" xfId="0" applyFont="1" applyFill="1" applyBorder="1" applyAlignment="1">
      <alignment horizontal="center"/>
    </xf>
    <xf numFmtId="0" fontId="12" fillId="17" borderId="3" xfId="0" applyFont="1" applyFill="1" applyBorder="1" applyAlignment="1">
      <alignment horizontal="center" vertical="center"/>
    </xf>
    <xf numFmtId="0" fontId="12" fillId="17" borderId="8" xfId="0" applyFont="1" applyFill="1" applyBorder="1" applyAlignment="1">
      <alignment horizontal="center" vertical="center" wrapText="1"/>
    </xf>
    <xf numFmtId="0" fontId="12" fillId="17" borderId="8" xfId="0" applyFont="1" applyFill="1" applyBorder="1" applyAlignment="1">
      <alignment horizontal="center" vertical="center"/>
    </xf>
    <xf numFmtId="0" fontId="59" fillId="17" borderId="2" xfId="0" applyFont="1" applyFill="1" applyBorder="1" applyAlignment="1">
      <alignment horizontal="center" vertical="center" wrapText="1"/>
    </xf>
    <xf numFmtId="0" fontId="48" fillId="17" borderId="2" xfId="0" applyFont="1" applyFill="1" applyBorder="1" applyAlignment="1">
      <alignment horizontal="center" vertical="center"/>
    </xf>
    <xf numFmtId="17" fontId="48" fillId="17" borderId="8" xfId="0" applyNumberFormat="1" applyFont="1" applyFill="1" applyBorder="1" applyAlignment="1">
      <alignment horizontal="center" vertical="center"/>
    </xf>
    <xf numFmtId="0" fontId="12" fillId="17" borderId="2" xfId="0" quotePrefix="1" applyFont="1" applyFill="1" applyBorder="1" applyAlignment="1">
      <alignment horizontal="center" vertical="center" wrapText="1"/>
    </xf>
    <xf numFmtId="0" fontId="12" fillId="17" borderId="2" xfId="0" applyFont="1" applyFill="1" applyBorder="1" applyAlignment="1">
      <alignment horizontal="center" vertical="center"/>
    </xf>
    <xf numFmtId="17" fontId="12" fillId="17" borderId="2" xfId="0" applyNumberFormat="1" applyFont="1" applyFill="1" applyBorder="1" applyAlignment="1">
      <alignment horizontal="center" vertical="center"/>
    </xf>
    <xf numFmtId="0" fontId="48" fillId="16" borderId="29" xfId="0" applyFont="1" applyFill="1" applyBorder="1" applyAlignment="1">
      <alignment horizontal="center" vertical="center"/>
    </xf>
    <xf numFmtId="10" fontId="27" fillId="16" borderId="2" xfId="1" applyNumberFormat="1" applyFont="1" applyFill="1" applyBorder="1" applyAlignment="1">
      <alignment horizontal="center" vertical="center"/>
    </xf>
    <xf numFmtId="0" fontId="12" fillId="16" borderId="2" xfId="0" applyFont="1" applyFill="1" applyBorder="1" applyAlignment="1">
      <alignment horizontal="center" vertical="center"/>
    </xf>
    <xf numFmtId="17" fontId="12" fillId="16" borderId="2" xfId="0" applyNumberFormat="1" applyFont="1" applyFill="1" applyBorder="1" applyAlignment="1">
      <alignment horizontal="center" vertical="center"/>
    </xf>
    <xf numFmtId="0" fontId="12" fillId="16" borderId="2" xfId="0" applyFont="1" applyFill="1" applyBorder="1" applyAlignment="1">
      <alignment horizontal="center" vertical="center" wrapText="1"/>
    </xf>
    <xf numFmtId="17" fontId="12" fillId="16" borderId="2" xfId="0" applyNumberFormat="1" applyFont="1" applyFill="1" applyBorder="1" applyAlignment="1">
      <alignment horizontal="center" vertical="center" wrapText="1"/>
    </xf>
    <xf numFmtId="0" fontId="48" fillId="16" borderId="2" xfId="0" applyFont="1" applyFill="1" applyBorder="1" applyAlignment="1">
      <alignment horizontal="center" vertical="center"/>
    </xf>
    <xf numFmtId="0" fontId="48" fillId="16" borderId="2" xfId="0" applyFont="1" applyFill="1" applyBorder="1" applyAlignment="1">
      <alignment horizontal="center" vertical="center" wrapText="1"/>
    </xf>
    <xf numFmtId="17" fontId="48" fillId="16" borderId="2" xfId="0" applyNumberFormat="1" applyFont="1" applyFill="1" applyBorder="1" applyAlignment="1">
      <alignment horizontal="center" vertical="center" wrapText="1"/>
    </xf>
    <xf numFmtId="0" fontId="12" fillId="16" borderId="2" xfId="0" quotePrefix="1" applyFont="1" applyFill="1" applyBorder="1" applyAlignment="1">
      <alignment horizontal="center" vertical="center"/>
    </xf>
    <xf numFmtId="8" fontId="21" fillId="16" borderId="2" xfId="0" applyNumberFormat="1" applyFont="1" applyFill="1" applyBorder="1" applyAlignment="1">
      <alignment horizontal="center" vertical="center" wrapText="1"/>
    </xf>
    <xf numFmtId="8" fontId="21" fillId="16" borderId="20" xfId="0" applyNumberFormat="1" applyFont="1" applyFill="1" applyBorder="1" applyAlignment="1">
      <alignment horizontal="center" vertical="center" wrapText="1"/>
    </xf>
    <xf numFmtId="0" fontId="49" fillId="0" borderId="0" xfId="0" applyFont="1"/>
    <xf numFmtId="0" fontId="11" fillId="18" borderId="57" xfId="0" applyFont="1" applyFill="1" applyBorder="1"/>
    <xf numFmtId="0" fontId="11" fillId="18" borderId="0" xfId="0" applyFont="1" applyFill="1"/>
    <xf numFmtId="0" fontId="60" fillId="19" borderId="4" xfId="0" applyFont="1" applyFill="1" applyBorder="1"/>
    <xf numFmtId="0" fontId="10" fillId="16" borderId="2" xfId="0" applyFont="1" applyFill="1" applyBorder="1"/>
    <xf numFmtId="8" fontId="11" fillId="18" borderId="69" xfId="0" applyNumberFormat="1" applyFont="1" applyFill="1" applyBorder="1"/>
    <xf numFmtId="0" fontId="10" fillId="0" borderId="58" xfId="0" applyFont="1" applyBorder="1"/>
    <xf numFmtId="0" fontId="10" fillId="0" borderId="22" xfId="0" applyFont="1" applyBorder="1"/>
    <xf numFmtId="0" fontId="21" fillId="16" borderId="2" xfId="0" applyFont="1" applyFill="1" applyBorder="1" applyAlignment="1">
      <alignment horizontal="center" vertical="center"/>
    </xf>
    <xf numFmtId="17" fontId="21" fillId="16" borderId="2" xfId="0" applyNumberFormat="1" applyFont="1" applyFill="1" applyBorder="1" applyAlignment="1">
      <alignment horizontal="center" vertical="center"/>
    </xf>
    <xf numFmtId="0" fontId="21" fillId="16" borderId="16" xfId="0" quotePrefix="1" applyFont="1" applyFill="1" applyBorder="1" applyAlignment="1">
      <alignment horizontal="center" vertical="center"/>
    </xf>
    <xf numFmtId="0" fontId="21" fillId="16" borderId="16" xfId="0" applyFont="1" applyFill="1" applyBorder="1" applyAlignment="1">
      <alignment horizontal="center" vertical="center"/>
    </xf>
    <xf numFmtId="17" fontId="21" fillId="16" borderId="16" xfId="0" applyNumberFormat="1" applyFont="1" applyFill="1" applyBorder="1" applyAlignment="1">
      <alignment horizontal="center" vertical="center"/>
    </xf>
    <xf numFmtId="164" fontId="21" fillId="16" borderId="2" xfId="0" applyNumberFormat="1" applyFont="1" applyFill="1" applyBorder="1" applyAlignment="1">
      <alignment horizontal="center" vertical="center"/>
    </xf>
    <xf numFmtId="164" fontId="21" fillId="16" borderId="16" xfId="0" applyNumberFormat="1" applyFont="1" applyFill="1" applyBorder="1" applyAlignment="1">
      <alignment horizontal="center" vertical="center"/>
    </xf>
    <xf numFmtId="10" fontId="40" fillId="16" borderId="20" xfId="8" applyNumberFormat="1" applyFont="1" applyFill="1" applyBorder="1" applyAlignment="1">
      <alignment horizontal="center" vertical="center"/>
    </xf>
    <xf numFmtId="10" fontId="40" fillId="16" borderId="2" xfId="8" applyNumberFormat="1" applyFont="1" applyFill="1" applyBorder="1" applyAlignment="1">
      <alignment horizontal="center" vertical="center"/>
    </xf>
    <xf numFmtId="0" fontId="61" fillId="0" borderId="0" xfId="0" applyFont="1" applyAlignment="1">
      <alignment horizontal="center" wrapText="1"/>
    </xf>
    <xf numFmtId="0" fontId="28" fillId="0" borderId="14" xfId="0" applyFont="1" applyBorder="1"/>
    <xf numFmtId="0" fontId="27" fillId="0" borderId="4" xfId="0" applyFont="1" applyBorder="1"/>
    <xf numFmtId="0" fontId="27" fillId="0" borderId="7" xfId="0" applyFont="1" applyBorder="1"/>
    <xf numFmtId="0" fontId="27" fillId="0" borderId="51" xfId="0" applyFont="1" applyBorder="1"/>
    <xf numFmtId="0" fontId="27" fillId="0" borderId="4" xfId="0" quotePrefix="1" applyFont="1" applyBorder="1" applyAlignment="1">
      <alignment horizontal="left" vertical="center"/>
    </xf>
    <xf numFmtId="0" fontId="27" fillId="0" borderId="7" xfId="0" applyFont="1" applyBorder="1" applyAlignment="1">
      <alignment horizontal="center" vertical="center"/>
    </xf>
    <xf numFmtId="0" fontId="27" fillId="0" borderId="51" xfId="0" applyFont="1" applyBorder="1" applyAlignment="1">
      <alignment horizontal="center" vertical="center"/>
    </xf>
    <xf numFmtId="17" fontId="27" fillId="0" borderId="4" xfId="0" applyNumberFormat="1" applyFont="1" applyBorder="1" applyAlignment="1">
      <alignment horizontal="left" vertical="center"/>
    </xf>
    <xf numFmtId="0" fontId="27" fillId="0" borderId="7" xfId="0" applyFont="1" applyBorder="1" applyAlignment="1">
      <alignment horizontal="left" vertical="center"/>
    </xf>
    <xf numFmtId="0" fontId="27" fillId="0" borderId="51" xfId="0" applyFont="1" applyBorder="1" applyAlignment="1">
      <alignment horizontal="left" vertical="center"/>
    </xf>
    <xf numFmtId="0" fontId="27" fillId="0" borderId="4" xfId="0" applyFont="1" applyBorder="1" applyAlignment="1">
      <alignment horizontal="left" vertical="center"/>
    </xf>
    <xf numFmtId="0" fontId="27" fillId="0" borderId="5" xfId="0" quotePrefix="1" applyFont="1" applyBorder="1" applyAlignment="1">
      <alignment horizontal="left" vertical="center"/>
    </xf>
    <xf numFmtId="0" fontId="27" fillId="0" borderId="6" xfId="0" applyFont="1" applyBorder="1" applyAlignment="1">
      <alignment horizontal="left" vertical="center"/>
    </xf>
    <xf numFmtId="164" fontId="7" fillId="6" borderId="43" xfId="0" applyNumberFormat="1" applyFont="1" applyFill="1" applyBorder="1" applyAlignment="1">
      <alignment horizontal="right"/>
    </xf>
    <xf numFmtId="0" fontId="27" fillId="0" borderId="4" xfId="0" quotePrefix="1" applyFont="1" applyBorder="1" applyAlignment="1">
      <alignment horizontal="center" vertical="center"/>
    </xf>
    <xf numFmtId="0" fontId="27" fillId="0" borderId="4" xfId="0" applyFont="1" applyBorder="1" applyAlignment="1">
      <alignment vertical="center"/>
    </xf>
    <xf numFmtId="0" fontId="28" fillId="0" borderId="14" xfId="0" applyFont="1" applyBorder="1" applyAlignment="1">
      <alignment vertical="center"/>
    </xf>
    <xf numFmtId="0" fontId="27" fillId="0" borderId="5" xfId="0" quotePrefix="1" applyFont="1" applyBorder="1" applyAlignment="1">
      <alignment vertical="center"/>
    </xf>
    <xf numFmtId="2" fontId="63" fillId="21" borderId="20" xfId="0" applyNumberFormat="1" applyFont="1" applyFill="1" applyBorder="1" applyAlignment="1">
      <alignment horizontal="right"/>
    </xf>
    <xf numFmtId="0" fontId="27" fillId="0" borderId="57" xfId="0" applyFont="1" applyBorder="1"/>
    <xf numFmtId="0" fontId="27" fillId="0" borderId="58" xfId="0" applyFont="1" applyBorder="1"/>
    <xf numFmtId="0" fontId="28" fillId="22" borderId="14" xfId="0" applyFont="1" applyFill="1" applyBorder="1" applyAlignment="1">
      <alignment horizontal="center" vertical="center" wrapText="1"/>
    </xf>
    <xf numFmtId="0" fontId="28" fillId="22" borderId="2" xfId="0" applyFont="1" applyFill="1" applyBorder="1" applyAlignment="1">
      <alignment horizontal="center" vertical="center" wrapText="1"/>
    </xf>
    <xf numFmtId="0" fontId="28" fillId="22" borderId="20" xfId="0" applyFont="1" applyFill="1" applyBorder="1" applyAlignment="1">
      <alignment horizontal="center" vertical="center" wrapText="1"/>
    </xf>
    <xf numFmtId="0" fontId="27" fillId="0" borderId="14" xfId="0" applyFont="1" applyBorder="1" applyAlignment="1">
      <alignment horizontal="center"/>
    </xf>
    <xf numFmtId="0" fontId="27" fillId="0" borderId="2" xfId="0" applyFont="1" applyBorder="1"/>
    <xf numFmtId="0" fontId="27" fillId="0" borderId="2" xfId="0" applyFont="1" applyBorder="1" applyAlignment="1">
      <alignment horizontal="center"/>
    </xf>
    <xf numFmtId="0" fontId="27" fillId="0" borderId="2" xfId="0" applyFont="1" applyBorder="1" applyAlignment="1">
      <alignment horizontal="center" vertical="center"/>
    </xf>
    <xf numFmtId="9" fontId="27" fillId="0" borderId="2" xfId="1" applyFont="1" applyBorder="1" applyAlignment="1">
      <alignment horizontal="center" vertical="center"/>
    </xf>
    <xf numFmtId="165" fontId="27" fillId="0" borderId="2" xfId="0" applyNumberFormat="1" applyFont="1" applyBorder="1" applyAlignment="1">
      <alignment horizontal="center" vertical="center"/>
    </xf>
    <xf numFmtId="0" fontId="27" fillId="0" borderId="20" xfId="0" applyFont="1" applyBorder="1" applyAlignment="1">
      <alignment horizontal="center" vertical="center"/>
    </xf>
    <xf numFmtId="0" fontId="63" fillId="7" borderId="14" xfId="0" applyFont="1" applyFill="1" applyBorder="1" applyAlignment="1">
      <alignment horizontal="center"/>
    </xf>
    <xf numFmtId="0" fontId="63" fillId="7" borderId="2" xfId="0" applyFont="1" applyFill="1" applyBorder="1" applyAlignment="1">
      <alignment horizontal="center"/>
    </xf>
    <xf numFmtId="0" fontId="7" fillId="7" borderId="2" xfId="0" applyFont="1" applyFill="1" applyBorder="1" applyAlignment="1">
      <alignment horizontal="center" vertical="center"/>
    </xf>
    <xf numFmtId="164" fontId="7" fillId="7" borderId="2" xfId="0" applyNumberFormat="1" applyFont="1" applyFill="1" applyBorder="1" applyAlignment="1">
      <alignment horizontal="center" vertical="center"/>
    </xf>
    <xf numFmtId="164" fontId="7" fillId="7" borderId="20" xfId="0" applyNumberFormat="1" applyFont="1" applyFill="1" applyBorder="1" applyAlignment="1">
      <alignment horizontal="center" vertical="center"/>
    </xf>
    <xf numFmtId="0" fontId="28" fillId="8" borderId="14" xfId="0" applyFont="1" applyFill="1" applyBorder="1" applyAlignment="1">
      <alignment horizontal="center" vertical="center" wrapText="1"/>
    </xf>
    <xf numFmtId="0" fontId="28" fillId="8" borderId="2" xfId="0" applyFont="1" applyFill="1" applyBorder="1" applyAlignment="1">
      <alignment horizontal="center" vertical="center" wrapText="1"/>
    </xf>
    <xf numFmtId="0" fontId="28" fillId="8" borderId="20" xfId="0" applyFont="1" applyFill="1" applyBorder="1" applyAlignment="1">
      <alignment horizontal="center" vertical="center" wrapText="1"/>
    </xf>
    <xf numFmtId="0" fontId="27" fillId="3" borderId="2" xfId="0" applyFont="1" applyFill="1" applyBorder="1" applyAlignment="1">
      <alignment horizontal="center"/>
    </xf>
    <xf numFmtId="0" fontId="27" fillId="3" borderId="2" xfId="0" applyFont="1" applyFill="1" applyBorder="1"/>
    <xf numFmtId="0" fontId="63" fillId="7" borderId="14" xfId="0" applyFont="1" applyFill="1" applyBorder="1"/>
    <xf numFmtId="0" fontId="63" fillId="7" borderId="2" xfId="0" applyFont="1" applyFill="1" applyBorder="1"/>
    <xf numFmtId="0" fontId="27" fillId="3" borderId="14" xfId="0" applyFont="1" applyFill="1" applyBorder="1" applyAlignment="1">
      <alignment horizontal="center"/>
    </xf>
    <xf numFmtId="0" fontId="27" fillId="3" borderId="2" xfId="0" applyFont="1" applyFill="1" applyBorder="1" applyAlignment="1">
      <alignment horizontal="center" vertical="center"/>
    </xf>
    <xf numFmtId="9" fontId="27" fillId="3" borderId="2" xfId="1" applyFont="1" applyFill="1" applyBorder="1" applyAlignment="1">
      <alignment horizontal="center" vertical="center"/>
    </xf>
    <xf numFmtId="0" fontId="27" fillId="3" borderId="20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9" fontId="27" fillId="0" borderId="2" xfId="1" applyFont="1" applyFill="1" applyBorder="1" applyAlignment="1">
      <alignment horizontal="center" vertical="center"/>
    </xf>
    <xf numFmtId="0" fontId="63" fillId="7" borderId="15" xfId="0" applyFont="1" applyFill="1" applyBorder="1"/>
    <xf numFmtId="0" fontId="63" fillId="7" borderId="16" xfId="0" applyFont="1" applyFill="1" applyBorder="1"/>
    <xf numFmtId="0" fontId="7" fillId="7" borderId="16" xfId="0" applyFont="1" applyFill="1" applyBorder="1" applyAlignment="1">
      <alignment horizontal="center" vertical="center"/>
    </xf>
    <xf numFmtId="164" fontId="7" fillId="7" borderId="16" xfId="0" applyNumberFormat="1" applyFont="1" applyFill="1" applyBorder="1" applyAlignment="1">
      <alignment horizontal="center" vertical="center"/>
    </xf>
    <xf numFmtId="164" fontId="7" fillId="7" borderId="43" xfId="0" applyNumberFormat="1" applyFont="1" applyFill="1" applyBorder="1" applyAlignment="1">
      <alignment horizontal="center" vertical="center"/>
    </xf>
    <xf numFmtId="0" fontId="6" fillId="0" borderId="66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4" fillId="0" borderId="7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1" xfId="0" applyFont="1" applyBorder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4" fillId="8" borderId="20" xfId="0" applyFont="1" applyFill="1" applyBorder="1"/>
    <xf numFmtId="2" fontId="4" fillId="8" borderId="20" xfId="0" applyNumberFormat="1" applyFont="1" applyFill="1" applyBorder="1"/>
    <xf numFmtId="0" fontId="4" fillId="0" borderId="57" xfId="0" applyFont="1" applyBorder="1"/>
    <xf numFmtId="0" fontId="4" fillId="0" borderId="0" xfId="0" applyFont="1" applyAlignment="1">
      <alignment wrapText="1"/>
    </xf>
    <xf numFmtId="0" fontId="4" fillId="0" borderId="0" xfId="0" applyFont="1"/>
    <xf numFmtId="0" fontId="4" fillId="0" borderId="58" xfId="0" applyFont="1" applyBorder="1"/>
    <xf numFmtId="0" fontId="7" fillId="7" borderId="14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vertical="center" wrapText="1"/>
    </xf>
    <xf numFmtId="4" fontId="7" fillId="7" borderId="8" xfId="0" applyNumberFormat="1" applyFont="1" applyFill="1" applyBorder="1" applyAlignment="1">
      <alignment horizontal="center" vertical="center"/>
    </xf>
    <xf numFmtId="3" fontId="7" fillId="7" borderId="8" xfId="0" applyNumberFormat="1" applyFont="1" applyFill="1" applyBorder="1" applyAlignment="1">
      <alignment horizontal="center" vertical="center"/>
    </xf>
    <xf numFmtId="4" fontId="7" fillId="7" borderId="8" xfId="1" applyNumberFormat="1" applyFont="1" applyFill="1" applyBorder="1" applyAlignment="1">
      <alignment horizontal="center" vertical="center"/>
    </xf>
    <xf numFmtId="4" fontId="7" fillId="7" borderId="5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3" fontId="4" fillId="0" borderId="0" xfId="0" applyNumberFormat="1" applyFont="1" applyAlignment="1">
      <alignment vertical="center"/>
    </xf>
    <xf numFmtId="3" fontId="4" fillId="0" borderId="0" xfId="0" applyNumberFormat="1" applyFont="1"/>
    <xf numFmtId="166" fontId="4" fillId="0" borderId="0" xfId="0" applyNumberFormat="1" applyFont="1" applyAlignment="1">
      <alignment horizontal="center"/>
    </xf>
    <xf numFmtId="3" fontId="4" fillId="0" borderId="58" xfId="0" applyNumberFormat="1" applyFont="1" applyBorder="1"/>
    <xf numFmtId="0" fontId="6" fillId="23" borderId="14" xfId="0" applyFont="1" applyFill="1" applyBorder="1" applyAlignment="1">
      <alignment horizontal="center" vertical="center" wrapText="1"/>
    </xf>
    <xf numFmtId="0" fontId="6" fillId="23" borderId="2" xfId="0" applyFont="1" applyFill="1" applyBorder="1" applyAlignment="1">
      <alignment horizontal="center" vertical="center" wrapText="1"/>
    </xf>
    <xf numFmtId="0" fontId="6" fillId="23" borderId="20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4" fontId="4" fillId="0" borderId="2" xfId="0" applyNumberFormat="1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/>
    </xf>
    <xf numFmtId="0" fontId="4" fillId="0" borderId="2" xfId="1" applyNumberFormat="1" applyFont="1" applyBorder="1" applyAlignment="1">
      <alignment horizontal="center" vertical="center"/>
    </xf>
    <xf numFmtId="9" fontId="4" fillId="0" borderId="2" xfId="1" applyFont="1" applyBorder="1" applyAlignment="1">
      <alignment horizontal="center" vertical="center"/>
    </xf>
    <xf numFmtId="167" fontId="4" fillId="3" borderId="2" xfId="1" applyNumberFormat="1" applyFont="1" applyFill="1" applyBorder="1" applyAlignment="1">
      <alignment horizontal="center" vertical="center"/>
    </xf>
    <xf numFmtId="167" fontId="4" fillId="0" borderId="20" xfId="1" applyNumberFormat="1" applyFont="1" applyBorder="1" applyAlignment="1">
      <alignment horizontal="center" vertical="center"/>
    </xf>
    <xf numFmtId="4" fontId="7" fillId="7" borderId="2" xfId="0" applyNumberFormat="1" applyFont="1" applyFill="1" applyBorder="1" applyAlignment="1">
      <alignment horizontal="center" vertical="center"/>
    </xf>
    <xf numFmtId="3" fontId="7" fillId="7" borderId="2" xfId="0" applyNumberFormat="1" applyFont="1" applyFill="1" applyBorder="1" applyAlignment="1">
      <alignment horizontal="center" vertical="center"/>
    </xf>
    <xf numFmtId="4" fontId="7" fillId="7" borderId="2" xfId="1" applyNumberFormat="1" applyFont="1" applyFill="1" applyBorder="1" applyAlignment="1">
      <alignment horizontal="center" vertical="center"/>
    </xf>
    <xf numFmtId="4" fontId="4" fillId="0" borderId="2" xfId="1" applyNumberFormat="1" applyFont="1" applyBorder="1" applyAlignment="1">
      <alignment horizontal="center" vertical="center"/>
    </xf>
    <xf numFmtId="167" fontId="4" fillId="0" borderId="2" xfId="1" applyNumberFormat="1" applyFont="1" applyBorder="1" applyAlignment="1">
      <alignment horizontal="center" vertical="center"/>
    </xf>
    <xf numFmtId="4" fontId="4" fillId="0" borderId="2" xfId="1" applyNumberFormat="1" applyFont="1" applyFill="1" applyBorder="1" applyAlignment="1">
      <alignment horizontal="center" vertical="center"/>
    </xf>
    <xf numFmtId="167" fontId="7" fillId="7" borderId="2" xfId="0" applyNumberFormat="1" applyFont="1" applyFill="1" applyBorder="1" applyAlignment="1">
      <alignment horizontal="center" vertical="center"/>
    </xf>
    <xf numFmtId="167" fontId="7" fillId="7" borderId="20" xfId="0" applyNumberFormat="1" applyFont="1" applyFill="1" applyBorder="1" applyAlignment="1">
      <alignment horizontal="center" vertical="center"/>
    </xf>
    <xf numFmtId="0" fontId="6" fillId="8" borderId="14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8" borderId="20" xfId="0" applyFont="1" applyFill="1" applyBorder="1" applyAlignment="1">
      <alignment horizontal="center" vertical="center" wrapText="1"/>
    </xf>
    <xf numFmtId="0" fontId="7" fillId="7" borderId="15" xfId="0" applyFont="1" applyFill="1" applyBorder="1" applyAlignment="1">
      <alignment horizontal="center" vertical="center"/>
    </xf>
    <xf numFmtId="0" fontId="7" fillId="7" borderId="16" xfId="0" applyFont="1" applyFill="1" applyBorder="1" applyAlignment="1">
      <alignment horizontal="center" vertical="center" wrapText="1"/>
    </xf>
    <xf numFmtId="4" fontId="7" fillId="7" borderId="16" xfId="0" applyNumberFormat="1" applyFont="1" applyFill="1" applyBorder="1" applyAlignment="1">
      <alignment horizontal="center" vertical="center"/>
    </xf>
    <xf numFmtId="3" fontId="7" fillId="7" borderId="16" xfId="0" applyNumberFormat="1" applyFont="1" applyFill="1" applyBorder="1" applyAlignment="1">
      <alignment horizontal="center" vertical="center"/>
    </xf>
    <xf numFmtId="4" fontId="7" fillId="7" borderId="16" xfId="1" applyNumberFormat="1" applyFont="1" applyFill="1" applyBorder="1" applyAlignment="1">
      <alignment horizontal="center" vertical="center"/>
    </xf>
    <xf numFmtId="167" fontId="7" fillId="7" borderId="16" xfId="0" applyNumberFormat="1" applyFont="1" applyFill="1" applyBorder="1" applyAlignment="1">
      <alignment horizontal="center" vertical="center"/>
    </xf>
    <xf numFmtId="0" fontId="7" fillId="0" borderId="5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58" xfId="0" applyFont="1" applyBorder="1" applyAlignment="1">
      <alignment horizontal="center"/>
    </xf>
    <xf numFmtId="49" fontId="4" fillId="0" borderId="4" xfId="0" applyNumberFormat="1" applyFont="1" applyBorder="1" applyAlignment="1">
      <alignment horizontal="left" vertical="center" wrapText="1"/>
    </xf>
    <xf numFmtId="164" fontId="7" fillId="6" borderId="43" xfId="0" applyNumberFormat="1" applyFont="1" applyFill="1" applyBorder="1" applyAlignment="1">
      <alignment horizontal="center"/>
    </xf>
    <xf numFmtId="0" fontId="6" fillId="0" borderId="3" xfId="0" applyFont="1" applyBorder="1" applyAlignment="1">
      <alignment vertical="center"/>
    </xf>
    <xf numFmtId="164" fontId="7" fillId="6" borderId="2" xfId="0" applyNumberFormat="1" applyFont="1" applyFill="1" applyBorder="1" applyAlignment="1">
      <alignment horizontal="center"/>
    </xf>
    <xf numFmtId="0" fontId="23" fillId="12" borderId="76" xfId="0" applyFont="1" applyFill="1" applyBorder="1" applyAlignment="1">
      <alignment horizontal="center" vertical="center"/>
    </xf>
    <xf numFmtId="0" fontId="10" fillId="16" borderId="0" xfId="0" applyFont="1" applyFill="1"/>
    <xf numFmtId="4" fontId="21" fillId="16" borderId="2" xfId="0" applyNumberFormat="1" applyFont="1" applyFill="1" applyBorder="1" applyAlignment="1">
      <alignment horizontal="center" vertical="center" wrapText="1"/>
    </xf>
    <xf numFmtId="4" fontId="21" fillId="16" borderId="20" xfId="0" applyNumberFormat="1" applyFont="1" applyFill="1" applyBorder="1" applyAlignment="1">
      <alignment horizontal="center" vertical="center" wrapText="1"/>
    </xf>
    <xf numFmtId="4" fontId="21" fillId="16" borderId="2" xfId="0" applyNumberFormat="1" applyFont="1" applyFill="1" applyBorder="1" applyAlignment="1">
      <alignment horizontal="center" vertical="center"/>
    </xf>
    <xf numFmtId="4" fontId="21" fillId="16" borderId="16" xfId="0" applyNumberFormat="1" applyFont="1" applyFill="1" applyBorder="1" applyAlignment="1">
      <alignment horizontal="center" vertical="center"/>
    </xf>
    <xf numFmtId="0" fontId="64" fillId="0" borderId="8" xfId="0" applyFont="1" applyBorder="1" applyAlignment="1">
      <alignment horizontal="center" vertical="center"/>
    </xf>
    <xf numFmtId="0" fontId="7" fillId="2" borderId="40" xfId="0" applyFont="1" applyFill="1" applyBorder="1" applyAlignment="1">
      <alignment horizontal="right" vertical="center"/>
    </xf>
    <xf numFmtId="0" fontId="7" fillId="2" borderId="41" xfId="0" applyFont="1" applyFill="1" applyBorder="1" applyAlignment="1">
      <alignment horizontal="right" vertical="center"/>
    </xf>
    <xf numFmtId="0" fontId="7" fillId="6" borderId="37" xfId="0" applyFont="1" applyFill="1" applyBorder="1" applyAlignment="1">
      <alignment horizontal="center" vertical="center"/>
    </xf>
    <xf numFmtId="0" fontId="7" fillId="6" borderId="38" xfId="0" applyFont="1" applyFill="1" applyBorder="1" applyAlignment="1">
      <alignment horizontal="center" vertical="center"/>
    </xf>
    <xf numFmtId="0" fontId="7" fillId="6" borderId="39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left" vertical="center"/>
    </xf>
    <xf numFmtId="0" fontId="14" fillId="8" borderId="7" xfId="0" applyFont="1" applyFill="1" applyBorder="1" applyAlignment="1">
      <alignment horizontal="left" vertical="center"/>
    </xf>
    <xf numFmtId="0" fontId="14" fillId="8" borderId="3" xfId="0" applyFont="1" applyFill="1" applyBorder="1" applyAlignment="1">
      <alignment horizontal="left" vertical="center"/>
    </xf>
    <xf numFmtId="0" fontId="14" fillId="8" borderId="5" xfId="0" applyFont="1" applyFill="1" applyBorder="1" applyAlignment="1">
      <alignment horizontal="left" vertical="center"/>
    </xf>
    <xf numFmtId="0" fontId="6" fillId="8" borderId="9" xfId="0" applyFont="1" applyFill="1" applyBorder="1" applyAlignment="1">
      <alignment horizontal="left" vertical="center"/>
    </xf>
    <xf numFmtId="0" fontId="6" fillId="8" borderId="7" xfId="0" applyFont="1" applyFill="1" applyBorder="1" applyAlignment="1">
      <alignment horizontal="left" vertical="center"/>
    </xf>
    <xf numFmtId="0" fontId="6" fillId="8" borderId="3" xfId="0" applyFont="1" applyFill="1" applyBorder="1" applyAlignment="1">
      <alignment horizontal="left" vertical="center"/>
    </xf>
    <xf numFmtId="0" fontId="7" fillId="7" borderId="29" xfId="0" applyFont="1" applyFill="1" applyBorder="1" applyAlignment="1">
      <alignment horizontal="right" vertical="center"/>
    </xf>
    <xf numFmtId="0" fontId="7" fillId="7" borderId="2" xfId="0" applyFont="1" applyFill="1" applyBorder="1" applyAlignment="1">
      <alignment horizontal="right" vertical="center"/>
    </xf>
    <xf numFmtId="0" fontId="28" fillId="0" borderId="29" xfId="0" applyFont="1" applyBorder="1" applyAlignment="1">
      <alignment horizontal="right" vertical="center"/>
    </xf>
    <xf numFmtId="0" fontId="28" fillId="0" borderId="2" xfId="0" applyFont="1" applyBorder="1" applyAlignment="1">
      <alignment horizontal="right" vertical="center"/>
    </xf>
    <xf numFmtId="0" fontId="7" fillId="6" borderId="32" xfId="0" applyFont="1" applyFill="1" applyBorder="1" applyAlignment="1">
      <alignment horizontal="right" vertical="center"/>
    </xf>
    <xf numFmtId="0" fontId="7" fillId="6" borderId="33" xfId="0" applyFont="1" applyFill="1" applyBorder="1" applyAlignment="1">
      <alignment horizontal="right" vertical="center"/>
    </xf>
    <xf numFmtId="0" fontId="7" fillId="6" borderId="26" xfId="0" applyFont="1" applyFill="1" applyBorder="1" applyAlignment="1">
      <alignment horizontal="center" vertical="center"/>
    </xf>
    <xf numFmtId="0" fontId="7" fillId="6" borderId="27" xfId="0" applyFont="1" applyFill="1" applyBorder="1" applyAlignment="1">
      <alignment horizontal="center" vertical="center"/>
    </xf>
    <xf numFmtId="0" fontId="7" fillId="6" borderId="28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14" fillId="0" borderId="7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0" fontId="23" fillId="0" borderId="0" xfId="0" applyFont="1" applyAlignment="1">
      <alignment horizontal="left" wrapText="1"/>
    </xf>
    <xf numFmtId="0" fontId="23" fillId="0" borderId="76" xfId="0" applyFont="1" applyBorder="1" applyAlignment="1">
      <alignment horizontal="center" vertical="center" wrapText="1"/>
    </xf>
    <xf numFmtId="0" fontId="23" fillId="12" borderId="76" xfId="0" applyFont="1" applyFill="1" applyBorder="1" applyAlignment="1">
      <alignment horizontal="center" vertical="center" wrapText="1"/>
    </xf>
    <xf numFmtId="0" fontId="23" fillId="14" borderId="76" xfId="0" applyFont="1" applyFill="1" applyBorder="1" applyAlignment="1">
      <alignment horizontal="center" vertical="center" wrapText="1"/>
    </xf>
    <xf numFmtId="0" fontId="23" fillId="10" borderId="76" xfId="0" applyFont="1" applyFill="1" applyBorder="1" applyAlignment="1">
      <alignment horizontal="center" vertical="center" wrapText="1"/>
    </xf>
    <xf numFmtId="0" fontId="27" fillId="0" borderId="74" xfId="0" applyFont="1" applyBorder="1" applyAlignment="1">
      <alignment horizontal="center" vertical="center" textRotation="255"/>
    </xf>
    <xf numFmtId="0" fontId="27" fillId="0" borderId="75" xfId="0" applyFont="1" applyBorder="1" applyAlignment="1">
      <alignment horizontal="center" vertical="center" textRotation="255"/>
    </xf>
    <xf numFmtId="0" fontId="27" fillId="0" borderId="80" xfId="0" applyFont="1" applyBorder="1" applyAlignment="1">
      <alignment horizontal="center" vertical="center" textRotation="255"/>
    </xf>
    <xf numFmtId="0" fontId="27" fillId="0" borderId="81" xfId="0" applyFont="1" applyBorder="1" applyAlignment="1">
      <alignment horizontal="center" vertical="center" textRotation="255"/>
    </xf>
    <xf numFmtId="0" fontId="27" fillId="0" borderId="73" xfId="0" applyFont="1" applyBorder="1" applyAlignment="1">
      <alignment horizontal="center" vertical="center" textRotation="255"/>
    </xf>
    <xf numFmtId="0" fontId="27" fillId="0" borderId="72" xfId="0" applyFont="1" applyBorder="1" applyAlignment="1">
      <alignment horizontal="center" vertical="center" textRotation="255"/>
    </xf>
    <xf numFmtId="0" fontId="23" fillId="0" borderId="78" xfId="0" applyFont="1" applyBorder="1" applyAlignment="1">
      <alignment horizontal="center" vertical="center" wrapText="1"/>
    </xf>
    <xf numFmtId="0" fontId="23" fillId="0" borderId="82" xfId="0" applyFont="1" applyBorder="1" applyAlignment="1">
      <alignment horizontal="center" vertical="center" wrapText="1"/>
    </xf>
    <xf numFmtId="0" fontId="23" fillId="0" borderId="79" xfId="0" applyFont="1" applyBorder="1" applyAlignment="1">
      <alignment horizontal="center" vertical="center" wrapText="1"/>
    </xf>
    <xf numFmtId="0" fontId="22" fillId="6" borderId="73" xfId="0" applyFont="1" applyFill="1" applyBorder="1" applyAlignment="1">
      <alignment horizontal="center"/>
    </xf>
    <xf numFmtId="0" fontId="22" fillId="6" borderId="71" xfId="0" applyFont="1" applyFill="1" applyBorder="1" applyAlignment="1">
      <alignment horizontal="center"/>
    </xf>
    <xf numFmtId="0" fontId="9" fillId="2" borderId="46" xfId="0" applyFont="1" applyFill="1" applyBorder="1" applyAlignment="1">
      <alignment horizontal="center"/>
    </xf>
    <xf numFmtId="0" fontId="9" fillId="2" borderId="47" xfId="0" applyFont="1" applyFill="1" applyBorder="1" applyAlignment="1">
      <alignment horizontal="center"/>
    </xf>
    <xf numFmtId="0" fontId="9" fillId="2" borderId="48" xfId="0" applyFont="1" applyFill="1" applyBorder="1" applyAlignment="1">
      <alignment horizontal="center"/>
    </xf>
    <xf numFmtId="0" fontId="22" fillId="6" borderId="76" xfId="0" applyFont="1" applyFill="1" applyBorder="1" applyAlignment="1">
      <alignment horizontal="center" vertical="center" wrapText="1"/>
    </xf>
    <xf numFmtId="0" fontId="22" fillId="6" borderId="76" xfId="0" applyFont="1" applyFill="1" applyBorder="1" applyAlignment="1">
      <alignment horizontal="center" vertical="center"/>
    </xf>
    <xf numFmtId="0" fontId="19" fillId="0" borderId="66" xfId="0" applyFont="1" applyBorder="1" applyAlignment="1">
      <alignment horizontal="left"/>
    </xf>
    <xf numFmtId="0" fontId="19" fillId="0" borderId="3" xfId="0" applyFont="1" applyBorder="1" applyAlignment="1">
      <alignment horizontal="left"/>
    </xf>
    <xf numFmtId="0" fontId="11" fillId="18" borderId="52" xfId="0" applyFont="1" applyFill="1" applyBorder="1" applyAlignment="1">
      <alignment horizontal="left"/>
    </xf>
    <xf numFmtId="0" fontId="11" fillId="18" borderId="53" xfId="0" applyFont="1" applyFill="1" applyBorder="1" applyAlignment="1">
      <alignment horizontal="left"/>
    </xf>
    <xf numFmtId="8" fontId="11" fillId="18" borderId="69" xfId="0" applyNumberFormat="1" applyFont="1" applyFill="1" applyBorder="1" applyAlignment="1">
      <alignment horizontal="center"/>
    </xf>
    <xf numFmtId="8" fontId="11" fillId="18" borderId="70" xfId="0" applyNumberFormat="1" applyFont="1" applyFill="1" applyBorder="1" applyAlignment="1">
      <alignment horizontal="center"/>
    </xf>
    <xf numFmtId="8" fontId="11" fillId="18" borderId="53" xfId="0" applyNumberFormat="1" applyFont="1" applyFill="1" applyBorder="1" applyAlignment="1">
      <alignment horizontal="center"/>
    </xf>
    <xf numFmtId="0" fontId="9" fillId="2" borderId="57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11" fillId="18" borderId="12" xfId="0" applyFont="1" applyFill="1" applyBorder="1" applyAlignment="1">
      <alignment horizontal="center"/>
    </xf>
    <xf numFmtId="0" fontId="11" fillId="18" borderId="13" xfId="0" applyFont="1" applyFill="1" applyBorder="1" applyAlignment="1">
      <alignment horizontal="center"/>
    </xf>
    <xf numFmtId="0" fontId="11" fillId="18" borderId="59" xfId="0" applyFont="1" applyFill="1" applyBorder="1" applyAlignment="1">
      <alignment horizontal="center"/>
    </xf>
    <xf numFmtId="0" fontId="11" fillId="18" borderId="57" xfId="0" applyFont="1" applyFill="1" applyBorder="1" applyAlignment="1">
      <alignment horizontal="center"/>
    </xf>
    <xf numFmtId="0" fontId="11" fillId="18" borderId="0" xfId="0" applyFont="1" applyFill="1" applyAlignment="1">
      <alignment horizontal="center"/>
    </xf>
    <xf numFmtId="8" fontId="11" fillId="18" borderId="11" xfId="0" applyNumberFormat="1" applyFont="1" applyFill="1" applyBorder="1" applyAlignment="1">
      <alignment horizontal="center"/>
    </xf>
    <xf numFmtId="8" fontId="11" fillId="18" borderId="0" xfId="0" applyNumberFormat="1" applyFont="1" applyFill="1" applyAlignment="1">
      <alignment horizontal="center"/>
    </xf>
    <xf numFmtId="0" fontId="60" fillId="19" borderId="11" xfId="0" applyFont="1" applyFill="1" applyBorder="1" applyAlignment="1">
      <alignment horizontal="center"/>
    </xf>
    <xf numFmtId="0" fontId="60" fillId="19" borderId="0" xfId="0" applyFont="1" applyFill="1" applyAlignment="1">
      <alignment horizontal="center"/>
    </xf>
    <xf numFmtId="0" fontId="60" fillId="20" borderId="2" xfId="0" applyFont="1" applyFill="1" applyBorder="1" applyAlignment="1">
      <alignment horizontal="center" vertical="center"/>
    </xf>
    <xf numFmtId="0" fontId="56" fillId="20" borderId="2" xfId="0" applyFont="1" applyFill="1" applyBorder="1" applyAlignment="1">
      <alignment horizontal="center"/>
    </xf>
    <xf numFmtId="0" fontId="56" fillId="16" borderId="9" xfId="0" applyFont="1" applyFill="1" applyBorder="1" applyAlignment="1">
      <alignment horizontal="center"/>
    </xf>
    <xf numFmtId="0" fontId="56" fillId="16" borderId="10" xfId="0" applyFont="1" applyFill="1" applyBorder="1" applyAlignment="1">
      <alignment horizontal="center"/>
    </xf>
    <xf numFmtId="0" fontId="56" fillId="20" borderId="4" xfId="0" applyFont="1" applyFill="1" applyBorder="1" applyAlignment="1">
      <alignment horizontal="center"/>
    </xf>
    <xf numFmtId="0" fontId="56" fillId="20" borderId="7" xfId="0" applyFont="1" applyFill="1" applyBorder="1" applyAlignment="1">
      <alignment horizontal="center"/>
    </xf>
    <xf numFmtId="0" fontId="56" fillId="20" borderId="3" xfId="0" applyFont="1" applyFill="1" applyBorder="1" applyAlignment="1">
      <alignment horizontal="center"/>
    </xf>
    <xf numFmtId="0" fontId="56" fillId="0" borderId="66" xfId="0" applyFont="1" applyBorder="1" applyAlignment="1">
      <alignment horizontal="left"/>
    </xf>
    <xf numFmtId="0" fontId="56" fillId="0" borderId="3" xfId="0" applyFont="1" applyBorder="1" applyAlignment="1">
      <alignment horizontal="left"/>
    </xf>
    <xf numFmtId="0" fontId="56" fillId="16" borderId="5" xfId="0" applyFont="1" applyFill="1" applyBorder="1" applyAlignment="1">
      <alignment horizontal="center"/>
    </xf>
    <xf numFmtId="0" fontId="56" fillId="16" borderId="6" xfId="0" applyFont="1" applyFill="1" applyBorder="1" applyAlignment="1">
      <alignment horizontal="center"/>
    </xf>
    <xf numFmtId="8" fontId="11" fillId="18" borderId="69" xfId="0" applyNumberFormat="1" applyFont="1" applyFill="1" applyBorder="1" applyAlignment="1">
      <alignment horizontal="center" vertical="center"/>
    </xf>
    <xf numFmtId="8" fontId="11" fillId="18" borderId="70" xfId="0" applyNumberFormat="1" applyFont="1" applyFill="1" applyBorder="1" applyAlignment="1">
      <alignment horizontal="center" vertical="center"/>
    </xf>
    <xf numFmtId="0" fontId="56" fillId="16" borderId="4" xfId="0" applyFont="1" applyFill="1" applyBorder="1" applyAlignment="1">
      <alignment horizontal="center"/>
    </xf>
    <xf numFmtId="0" fontId="56" fillId="16" borderId="7" xfId="0" applyFont="1" applyFill="1" applyBorder="1" applyAlignment="1">
      <alignment horizontal="center"/>
    </xf>
    <xf numFmtId="0" fontId="56" fillId="16" borderId="3" xfId="0" applyFont="1" applyFill="1" applyBorder="1" applyAlignment="1">
      <alignment horizontal="center"/>
    </xf>
    <xf numFmtId="0" fontId="60" fillId="19" borderId="66" xfId="0" applyFont="1" applyFill="1" applyBorder="1" applyAlignment="1">
      <alignment horizontal="left"/>
    </xf>
    <xf numFmtId="0" fontId="60" fillId="19" borderId="3" xfId="0" applyFont="1" applyFill="1" applyBorder="1" applyAlignment="1">
      <alignment horizontal="left"/>
    </xf>
    <xf numFmtId="0" fontId="60" fillId="19" borderId="4" xfId="0" applyFont="1" applyFill="1" applyBorder="1" applyAlignment="1">
      <alignment horizontal="center"/>
    </xf>
    <xf numFmtId="0" fontId="60" fillId="19" borderId="7" xfId="0" applyFont="1" applyFill="1" applyBorder="1" applyAlignment="1">
      <alignment horizontal="center"/>
    </xf>
    <xf numFmtId="0" fontId="60" fillId="19" borderId="3" xfId="0" applyFont="1" applyFill="1" applyBorder="1" applyAlignment="1">
      <alignment horizontal="center"/>
    </xf>
    <xf numFmtId="0" fontId="60" fillId="20" borderId="4" xfId="0" applyFont="1" applyFill="1" applyBorder="1" applyAlignment="1">
      <alignment horizontal="center" vertical="center"/>
    </xf>
    <xf numFmtId="0" fontId="60" fillId="20" borderId="7" xfId="0" applyFont="1" applyFill="1" applyBorder="1" applyAlignment="1">
      <alignment horizontal="center" vertical="center"/>
    </xf>
    <xf numFmtId="0" fontId="60" fillId="20" borderId="3" xfId="0" applyFont="1" applyFill="1" applyBorder="1" applyAlignment="1">
      <alignment horizontal="center" vertical="center"/>
    </xf>
    <xf numFmtId="0" fontId="6" fillId="17" borderId="4" xfId="0" applyFont="1" applyFill="1" applyBorder="1" applyAlignment="1">
      <alignment horizontal="center"/>
    </xf>
    <xf numFmtId="0" fontId="6" fillId="17" borderId="7" xfId="0" applyFont="1" applyFill="1" applyBorder="1" applyAlignment="1">
      <alignment horizontal="center"/>
    </xf>
    <xf numFmtId="0" fontId="6" fillId="17" borderId="3" xfId="0" applyFont="1" applyFill="1" applyBorder="1" applyAlignment="1">
      <alignment horizontal="center"/>
    </xf>
    <xf numFmtId="0" fontId="60" fillId="17" borderId="4" xfId="0" applyFont="1" applyFill="1" applyBorder="1" applyAlignment="1">
      <alignment horizontal="center" vertical="center"/>
    </xf>
    <xf numFmtId="0" fontId="60" fillId="17" borderId="7" xfId="0" applyFont="1" applyFill="1" applyBorder="1" applyAlignment="1">
      <alignment horizontal="center" vertical="center"/>
    </xf>
    <xf numFmtId="0" fontId="60" fillId="17" borderId="3" xfId="0" applyFont="1" applyFill="1" applyBorder="1" applyAlignment="1">
      <alignment horizontal="center" vertical="center"/>
    </xf>
    <xf numFmtId="0" fontId="60" fillId="19" borderId="4" xfId="0" applyFont="1" applyFill="1" applyBorder="1" applyAlignment="1">
      <alignment horizontal="center" vertical="center"/>
    </xf>
    <xf numFmtId="0" fontId="60" fillId="19" borderId="7" xfId="0" applyFont="1" applyFill="1" applyBorder="1" applyAlignment="1">
      <alignment horizontal="center" vertical="center"/>
    </xf>
    <xf numFmtId="0" fontId="60" fillId="19" borderId="3" xfId="0" applyFont="1" applyFill="1" applyBorder="1" applyAlignment="1">
      <alignment horizontal="center" vertical="center"/>
    </xf>
    <xf numFmtId="0" fontId="56" fillId="16" borderId="77" xfId="0" applyFont="1" applyFill="1" applyBorder="1" applyAlignment="1">
      <alignment horizontal="center"/>
    </xf>
    <xf numFmtId="0" fontId="23" fillId="0" borderId="13" xfId="0" applyFont="1" applyBorder="1" applyAlignment="1">
      <alignment horizontal="left" wrapText="1"/>
    </xf>
    <xf numFmtId="0" fontId="22" fillId="6" borderId="18" xfId="0" applyFont="1" applyFill="1" applyBorder="1" applyAlignment="1">
      <alignment horizontal="center"/>
    </xf>
    <xf numFmtId="0" fontId="22" fillId="6" borderId="19" xfId="0" applyFont="1" applyFill="1" applyBorder="1" applyAlignment="1">
      <alignment horizontal="center"/>
    </xf>
    <xf numFmtId="0" fontId="23" fillId="0" borderId="17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3" fillId="12" borderId="17" xfId="0" applyFont="1" applyFill="1" applyBorder="1" applyAlignment="1">
      <alignment horizontal="center" vertical="center" wrapText="1"/>
    </xf>
    <xf numFmtId="0" fontId="23" fillId="12" borderId="14" xfId="0" applyFont="1" applyFill="1" applyBorder="1" applyAlignment="1">
      <alignment horizontal="center" vertical="center" wrapText="1"/>
    </xf>
    <xf numFmtId="0" fontId="22" fillId="6" borderId="18" xfId="0" applyFont="1" applyFill="1" applyBorder="1" applyAlignment="1">
      <alignment horizontal="center" vertical="center" wrapText="1"/>
    </xf>
    <xf numFmtId="0" fontId="22" fillId="6" borderId="16" xfId="0" applyFont="1" applyFill="1" applyBorder="1" applyAlignment="1">
      <alignment horizontal="center" vertical="center" wrapText="1"/>
    </xf>
    <xf numFmtId="0" fontId="22" fillId="6" borderId="17" xfId="0" applyFont="1" applyFill="1" applyBorder="1" applyAlignment="1">
      <alignment horizontal="center" vertical="center" wrapText="1"/>
    </xf>
    <xf numFmtId="0" fontId="22" fillId="6" borderId="15" xfId="0" applyFont="1" applyFill="1" applyBorder="1" applyAlignment="1">
      <alignment horizontal="center" vertical="center" wrapText="1"/>
    </xf>
    <xf numFmtId="0" fontId="22" fillId="6" borderId="18" xfId="0" applyFont="1" applyFill="1" applyBorder="1" applyAlignment="1">
      <alignment horizontal="center" vertical="center"/>
    </xf>
    <xf numFmtId="0" fontId="22" fillId="6" borderId="19" xfId="0" applyFont="1" applyFill="1" applyBorder="1" applyAlignment="1">
      <alignment horizontal="center" vertical="center"/>
    </xf>
    <xf numFmtId="0" fontId="23" fillId="14" borderId="14" xfId="0" applyFont="1" applyFill="1" applyBorder="1" applyAlignment="1">
      <alignment horizontal="center" vertical="center" wrapText="1"/>
    </xf>
    <xf numFmtId="0" fontId="23" fillId="10" borderId="14" xfId="0" applyFont="1" applyFill="1" applyBorder="1" applyAlignment="1">
      <alignment horizontal="center" vertical="center" wrapText="1"/>
    </xf>
    <xf numFmtId="0" fontId="23" fillId="10" borderId="15" xfId="0" applyFont="1" applyFill="1" applyBorder="1" applyAlignment="1">
      <alignment horizontal="center" vertical="center" wrapText="1"/>
    </xf>
    <xf numFmtId="164" fontId="22" fillId="6" borderId="46" xfId="0" applyNumberFormat="1" applyFont="1" applyFill="1" applyBorder="1" applyAlignment="1">
      <alignment horizontal="center" vertical="center"/>
    </xf>
    <xf numFmtId="164" fontId="22" fillId="6" borderId="48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22" fillId="6" borderId="5" xfId="0" applyFont="1" applyFill="1" applyBorder="1" applyAlignment="1">
      <alignment horizontal="center" vertical="center"/>
    </xf>
    <xf numFmtId="0" fontId="22" fillId="6" borderId="6" xfId="0" applyFont="1" applyFill="1" applyBorder="1" applyAlignment="1">
      <alignment horizontal="center" vertical="center"/>
    </xf>
    <xf numFmtId="2" fontId="22" fillId="6" borderId="64" xfId="1" applyNumberFormat="1" applyFont="1" applyFill="1" applyBorder="1" applyAlignment="1">
      <alignment horizontal="center" vertical="center"/>
    </xf>
    <xf numFmtId="2" fontId="22" fillId="6" borderId="22" xfId="1" applyNumberFormat="1" applyFont="1" applyFill="1" applyBorder="1" applyAlignment="1">
      <alignment horizontal="center" vertical="center"/>
    </xf>
    <xf numFmtId="17" fontId="29" fillId="16" borderId="66" xfId="0" applyNumberFormat="1" applyFont="1" applyFill="1" applyBorder="1" applyAlignment="1">
      <alignment horizontal="center" vertical="center"/>
    </xf>
    <xf numFmtId="0" fontId="29" fillId="16" borderId="51" xfId="0" applyFont="1" applyFill="1" applyBorder="1" applyAlignment="1">
      <alignment horizontal="center" vertical="center"/>
    </xf>
    <xf numFmtId="0" fontId="29" fillId="0" borderId="17" xfId="0" applyFont="1" applyBorder="1" applyAlignment="1">
      <alignment horizontal="center" vertical="center"/>
    </xf>
    <xf numFmtId="0" fontId="29" fillId="0" borderId="19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29" fillId="16" borderId="14" xfId="0" applyFont="1" applyFill="1" applyBorder="1" applyAlignment="1">
      <alignment horizontal="center" vertical="center"/>
    </xf>
    <xf numFmtId="0" fontId="29" fillId="16" borderId="20" xfId="0" applyFont="1" applyFill="1" applyBorder="1" applyAlignment="1">
      <alignment horizontal="center" vertical="center"/>
    </xf>
    <xf numFmtId="164" fontId="29" fillId="16" borderId="15" xfId="0" applyNumberFormat="1" applyFont="1" applyFill="1" applyBorder="1" applyAlignment="1">
      <alignment horizontal="center" vertical="center"/>
    </xf>
    <xf numFmtId="164" fontId="29" fillId="16" borderId="43" xfId="0" applyNumberFormat="1" applyFont="1" applyFill="1" applyBorder="1" applyAlignment="1">
      <alignment horizontal="center" vertical="center"/>
    </xf>
    <xf numFmtId="0" fontId="29" fillId="16" borderId="14" xfId="0" quotePrefix="1" applyFont="1" applyFill="1" applyBorder="1" applyAlignment="1">
      <alignment horizontal="center" vertical="center"/>
    </xf>
    <xf numFmtId="0" fontId="29" fillId="16" borderId="66" xfId="0" quotePrefix="1" applyFont="1" applyFill="1" applyBorder="1" applyAlignment="1">
      <alignment horizontal="center" vertical="center"/>
    </xf>
    <xf numFmtId="0" fontId="17" fillId="6" borderId="14" xfId="0" applyFont="1" applyFill="1" applyBorder="1" applyAlignment="1">
      <alignment horizontal="right" vertical="center"/>
    </xf>
    <xf numFmtId="0" fontId="17" fillId="6" borderId="20" xfId="0" applyFont="1" applyFill="1" applyBorder="1" applyAlignment="1">
      <alignment horizontal="right" vertical="center"/>
    </xf>
    <xf numFmtId="0" fontId="17" fillId="6" borderId="66" xfId="0" applyFont="1" applyFill="1" applyBorder="1" applyAlignment="1">
      <alignment horizontal="right" vertical="center"/>
    </xf>
    <xf numFmtId="0" fontId="17" fillId="6" borderId="51" xfId="0" applyFont="1" applyFill="1" applyBorder="1" applyAlignment="1">
      <alignment horizontal="right" vertical="center"/>
    </xf>
    <xf numFmtId="0" fontId="17" fillId="6" borderId="15" xfId="0" applyFont="1" applyFill="1" applyBorder="1" applyAlignment="1">
      <alignment horizontal="right" vertical="center"/>
    </xf>
    <xf numFmtId="0" fontId="17" fillId="6" borderId="43" xfId="0" applyFont="1" applyFill="1" applyBorder="1" applyAlignment="1">
      <alignment horizontal="right" vertical="center"/>
    </xf>
    <xf numFmtId="0" fontId="17" fillId="6" borderId="17" xfId="0" applyFont="1" applyFill="1" applyBorder="1" applyAlignment="1">
      <alignment horizontal="right" vertical="center"/>
    </xf>
    <xf numFmtId="0" fontId="17" fillId="6" borderId="19" xfId="0" applyFont="1" applyFill="1" applyBorder="1" applyAlignment="1">
      <alignment horizontal="right" vertical="center"/>
    </xf>
    <xf numFmtId="0" fontId="22" fillId="6" borderId="61" xfId="0" applyFont="1" applyFill="1" applyBorder="1" applyAlignment="1">
      <alignment horizontal="right" vertical="center"/>
    </xf>
    <xf numFmtId="0" fontId="22" fillId="6" borderId="13" xfId="0" applyFont="1" applyFill="1" applyBorder="1" applyAlignment="1">
      <alignment horizontal="right" vertical="center"/>
    </xf>
    <xf numFmtId="0" fontId="52" fillId="6" borderId="62" xfId="0" applyFont="1" applyFill="1" applyBorder="1" applyAlignment="1">
      <alignment horizontal="center" vertical="center"/>
    </xf>
    <xf numFmtId="0" fontId="52" fillId="6" borderId="63" xfId="0" applyFont="1" applyFill="1" applyBorder="1" applyAlignment="1">
      <alignment horizontal="center" vertical="center"/>
    </xf>
    <xf numFmtId="0" fontId="23" fillId="0" borderId="57" xfId="0" applyFont="1" applyBorder="1" applyAlignment="1">
      <alignment horizontal="left" vertical="center" wrapText="1"/>
    </xf>
    <xf numFmtId="0" fontId="23" fillId="0" borderId="58" xfId="0" applyFont="1" applyBorder="1" applyAlignment="1">
      <alignment horizontal="left" vertical="center" wrapText="1"/>
    </xf>
    <xf numFmtId="0" fontId="52" fillId="7" borderId="14" xfId="0" applyFont="1" applyFill="1" applyBorder="1" applyAlignment="1">
      <alignment horizontal="right" vertical="center"/>
    </xf>
    <xf numFmtId="0" fontId="52" fillId="7" borderId="20" xfId="0" applyFont="1" applyFill="1" applyBorder="1" applyAlignment="1">
      <alignment horizontal="right" vertical="center"/>
    </xf>
    <xf numFmtId="0" fontId="52" fillId="6" borderId="15" xfId="0" applyFont="1" applyFill="1" applyBorder="1" applyAlignment="1">
      <alignment horizontal="right" vertical="center"/>
    </xf>
    <xf numFmtId="0" fontId="52" fillId="6" borderId="43" xfId="0" applyFont="1" applyFill="1" applyBorder="1" applyAlignment="1">
      <alignment horizontal="right" vertical="center"/>
    </xf>
    <xf numFmtId="0" fontId="23" fillId="0" borderId="64" xfId="0" applyFont="1" applyBorder="1" applyAlignment="1">
      <alignment horizontal="left" vertical="center" wrapText="1"/>
    </xf>
    <xf numFmtId="0" fontId="23" fillId="0" borderId="22" xfId="0" applyFont="1" applyBorder="1" applyAlignment="1">
      <alignment horizontal="left" vertical="center" wrapText="1"/>
    </xf>
    <xf numFmtId="0" fontId="23" fillId="0" borderId="65" xfId="0" applyFont="1" applyBorder="1" applyAlignment="1">
      <alignment horizontal="left" vertical="center" wrapText="1"/>
    </xf>
    <xf numFmtId="0" fontId="23" fillId="0" borderId="60" xfId="0" applyFont="1" applyBorder="1" applyAlignment="1">
      <alignment horizontal="left" vertical="center" wrapText="1"/>
    </xf>
    <xf numFmtId="0" fontId="7" fillId="6" borderId="2" xfId="0" applyFont="1" applyFill="1" applyBorder="1" applyAlignment="1">
      <alignment horizontal="center"/>
    </xf>
    <xf numFmtId="0" fontId="4" fillId="0" borderId="4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7" fillId="6" borderId="17" xfId="0" applyFont="1" applyFill="1" applyBorder="1" applyAlignment="1">
      <alignment horizontal="center"/>
    </xf>
    <xf numFmtId="0" fontId="7" fillId="6" borderId="18" xfId="0" applyFont="1" applyFill="1" applyBorder="1" applyAlignment="1">
      <alignment horizontal="center"/>
    </xf>
    <xf numFmtId="0" fontId="7" fillId="6" borderId="19" xfId="0" applyFont="1" applyFill="1" applyBorder="1" applyAlignment="1">
      <alignment horizontal="center"/>
    </xf>
    <xf numFmtId="0" fontId="4" fillId="0" borderId="51" xfId="0" applyFont="1" applyBorder="1" applyAlignment="1">
      <alignment horizontal="left" vertical="center" wrapText="1"/>
    </xf>
    <xf numFmtId="0" fontId="7" fillId="6" borderId="15" xfId="0" applyFont="1" applyFill="1" applyBorder="1" applyAlignment="1">
      <alignment horizontal="center"/>
    </xf>
    <xf numFmtId="0" fontId="7" fillId="6" borderId="16" xfId="0" applyFont="1" applyFill="1" applyBorder="1" applyAlignment="1">
      <alignment horizontal="center"/>
    </xf>
    <xf numFmtId="0" fontId="7" fillId="7" borderId="14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0" fontId="7" fillId="7" borderId="20" xfId="0" applyFont="1" applyFill="1" applyBorder="1" applyAlignment="1">
      <alignment horizontal="center" vertical="center"/>
    </xf>
    <xf numFmtId="0" fontId="27" fillId="0" borderId="0" xfId="0" applyFont="1" applyAlignment="1">
      <alignment horizontal="left"/>
    </xf>
    <xf numFmtId="0" fontId="6" fillId="8" borderId="14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7" fillId="7" borderId="14" xfId="0" applyFont="1" applyFill="1" applyBorder="1" applyAlignment="1">
      <alignment horizontal="center"/>
    </xf>
    <xf numFmtId="0" fontId="7" fillId="7" borderId="2" xfId="0" applyFont="1" applyFill="1" applyBorder="1" applyAlignment="1">
      <alignment horizontal="center"/>
    </xf>
    <xf numFmtId="0" fontId="7" fillId="7" borderId="20" xfId="0" applyFont="1" applyFill="1" applyBorder="1" applyAlignment="1">
      <alignment horizontal="center"/>
    </xf>
    <xf numFmtId="0" fontId="7" fillId="6" borderId="12" xfId="0" applyFont="1" applyFill="1" applyBorder="1" applyAlignment="1">
      <alignment horizontal="center"/>
    </xf>
    <xf numFmtId="0" fontId="7" fillId="6" borderId="13" xfId="0" applyFont="1" applyFill="1" applyBorder="1" applyAlignment="1">
      <alignment horizontal="center"/>
    </xf>
    <xf numFmtId="0" fontId="7" fillId="6" borderId="59" xfId="0" applyFont="1" applyFill="1" applyBorder="1" applyAlignment="1">
      <alignment horizontal="center"/>
    </xf>
    <xf numFmtId="0" fontId="28" fillId="8" borderId="14" xfId="0" applyFont="1" applyFill="1" applyBorder="1" applyAlignment="1">
      <alignment horizontal="center"/>
    </xf>
    <xf numFmtId="0" fontId="28" fillId="8" borderId="2" xfId="0" applyFont="1" applyFill="1" applyBorder="1" applyAlignment="1">
      <alignment horizontal="center"/>
    </xf>
    <xf numFmtId="0" fontId="27" fillId="3" borderId="0" xfId="0" applyFont="1" applyFill="1" applyAlignment="1">
      <alignment horizontal="left"/>
    </xf>
    <xf numFmtId="0" fontId="27" fillId="0" borderId="4" xfId="0" quotePrefix="1" applyFont="1" applyBorder="1" applyAlignment="1">
      <alignment horizontal="left" vertical="center" wrapText="1"/>
    </xf>
    <xf numFmtId="0" fontId="27" fillId="0" borderId="7" xfId="0" quotePrefix="1" applyFont="1" applyBorder="1" applyAlignment="1">
      <alignment horizontal="left" vertical="center" wrapText="1"/>
    </xf>
    <xf numFmtId="0" fontId="27" fillId="0" borderId="51" xfId="0" quotePrefix="1" applyFont="1" applyBorder="1" applyAlignment="1">
      <alignment horizontal="left" vertical="center" wrapText="1"/>
    </xf>
    <xf numFmtId="0" fontId="7" fillId="6" borderId="2" xfId="0" applyFont="1" applyFill="1" applyBorder="1" applyAlignment="1">
      <alignment horizontal="center" vertical="center"/>
    </xf>
    <xf numFmtId="0" fontId="26" fillId="0" borderId="0" xfId="0" applyFont="1" applyAlignment="1">
      <alignment horizontal="left" vertical="center" wrapText="1"/>
    </xf>
    <xf numFmtId="0" fontId="9" fillId="2" borderId="46" xfId="0" applyFont="1" applyFill="1" applyBorder="1" applyAlignment="1">
      <alignment horizontal="center" vertical="center" wrapText="1"/>
    </xf>
    <xf numFmtId="0" fontId="9" fillId="2" borderId="47" xfId="0" applyFont="1" applyFill="1" applyBorder="1" applyAlignment="1">
      <alignment horizontal="center" vertical="center" wrapText="1"/>
    </xf>
    <xf numFmtId="0" fontId="9" fillId="2" borderId="48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6" borderId="19" xfId="0" applyFont="1" applyFill="1" applyBorder="1" applyAlignment="1">
      <alignment horizontal="center" vertical="center" wrapText="1"/>
    </xf>
    <xf numFmtId="0" fontId="58" fillId="0" borderId="13" xfId="0" applyFont="1" applyBorder="1" applyAlignment="1">
      <alignment horizontal="center" wrapText="1"/>
    </xf>
    <xf numFmtId="0" fontId="21" fillId="4" borderId="0" xfId="0" applyFont="1" applyFill="1" applyAlignment="1">
      <alignment horizontal="left" vertical="center" wrapText="1"/>
    </xf>
    <xf numFmtId="0" fontId="23" fillId="0" borderId="14" xfId="0" applyFont="1" applyBorder="1" applyAlignment="1">
      <alignment vertical="center" wrapText="1"/>
    </xf>
    <xf numFmtId="0" fontId="23" fillId="0" borderId="2" xfId="0" applyFont="1" applyBorder="1" applyAlignment="1">
      <alignment vertical="center" wrapText="1"/>
    </xf>
    <xf numFmtId="0" fontId="23" fillId="0" borderId="2" xfId="0" applyFont="1" applyBorder="1" applyAlignment="1">
      <alignment vertical="center"/>
    </xf>
    <xf numFmtId="0" fontId="23" fillId="0" borderId="20" xfId="0" applyFont="1" applyBorder="1" applyAlignment="1">
      <alignment vertical="center"/>
    </xf>
    <xf numFmtId="0" fontId="23" fillId="0" borderId="20" xfId="0" applyFont="1" applyBorder="1" applyAlignment="1">
      <alignment vertical="center" wrapText="1"/>
    </xf>
    <xf numFmtId="0" fontId="23" fillId="0" borderId="0" xfId="0" applyFont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17" fillId="7" borderId="57" xfId="0" applyFont="1" applyFill="1" applyBorder="1" applyAlignment="1">
      <alignment horizontal="center" vertical="center" wrapText="1"/>
    </xf>
    <xf numFmtId="0" fontId="17" fillId="7" borderId="0" xfId="0" applyFont="1" applyFill="1" applyAlignment="1">
      <alignment horizontal="center" vertical="center" wrapText="1"/>
    </xf>
    <xf numFmtId="0" fontId="17" fillId="7" borderId="58" xfId="0" applyFont="1" applyFill="1" applyBorder="1" applyAlignment="1">
      <alignment horizontal="center" vertical="center" wrapText="1"/>
    </xf>
    <xf numFmtId="0" fontId="7" fillId="6" borderId="62" xfId="0" applyFont="1" applyFill="1" applyBorder="1" applyAlignment="1">
      <alignment horizontal="center" vertical="center" wrapText="1"/>
    </xf>
    <xf numFmtId="0" fontId="7" fillId="6" borderId="68" xfId="0" applyFont="1" applyFill="1" applyBorder="1" applyAlignment="1">
      <alignment horizontal="center" vertical="center" wrapText="1"/>
    </xf>
    <xf numFmtId="0" fontId="7" fillId="6" borderId="63" xfId="0" applyFont="1" applyFill="1" applyBorder="1" applyAlignment="1">
      <alignment horizontal="center" vertical="center" wrapText="1"/>
    </xf>
    <xf numFmtId="0" fontId="7" fillId="6" borderId="54" xfId="0" applyFont="1" applyFill="1" applyBorder="1" applyAlignment="1">
      <alignment horizontal="center" vertical="center" wrapText="1"/>
    </xf>
    <xf numFmtId="0" fontId="7" fillId="6" borderId="55" xfId="0" applyFont="1" applyFill="1" applyBorder="1" applyAlignment="1">
      <alignment horizontal="center" vertical="center" wrapText="1"/>
    </xf>
    <xf numFmtId="0" fontId="7" fillId="6" borderId="56" xfId="0" applyFont="1" applyFill="1" applyBorder="1" applyAlignment="1">
      <alignment horizontal="center" vertical="center" wrapText="1"/>
    </xf>
    <xf numFmtId="0" fontId="9" fillId="2" borderId="46" xfId="3" applyFont="1" applyFill="1" applyBorder="1" applyAlignment="1">
      <alignment horizontal="center" vertical="center"/>
    </xf>
    <xf numFmtId="0" fontId="9" fillId="2" borderId="47" xfId="3" applyFont="1" applyFill="1" applyBorder="1" applyAlignment="1">
      <alignment horizontal="center" vertical="center"/>
    </xf>
    <xf numFmtId="0" fontId="9" fillId="2" borderId="48" xfId="3" applyFont="1" applyFill="1" applyBorder="1" applyAlignment="1">
      <alignment horizontal="center" vertical="center"/>
    </xf>
    <xf numFmtId="0" fontId="38" fillId="0" borderId="21" xfId="5" applyFont="1" applyBorder="1" applyAlignment="1">
      <alignment horizontal="center" vertical="center"/>
    </xf>
    <xf numFmtId="0" fontId="19" fillId="0" borderId="14" xfId="3" applyFont="1" applyBorder="1" applyAlignment="1">
      <alignment horizontal="left" vertical="center" wrapText="1"/>
    </xf>
    <xf numFmtId="0" fontId="19" fillId="0" borderId="2" xfId="3" applyFont="1" applyBorder="1" applyAlignment="1">
      <alignment horizontal="left" vertical="center" wrapText="1"/>
    </xf>
    <xf numFmtId="0" fontId="17" fillId="7" borderId="14" xfId="3" applyFont="1" applyFill="1" applyBorder="1" applyAlignment="1">
      <alignment horizontal="left" vertical="center" wrapText="1"/>
    </xf>
    <xf numFmtId="0" fontId="17" fillId="7" borderId="2" xfId="3" applyFont="1" applyFill="1" applyBorder="1" applyAlignment="1">
      <alignment horizontal="left" vertical="center" wrapText="1"/>
    </xf>
    <xf numFmtId="0" fontId="4" fillId="0" borderId="65" xfId="3" applyFont="1" applyBorder="1" applyAlignment="1">
      <alignment horizontal="center" vertical="center" wrapText="1"/>
    </xf>
    <xf numFmtId="0" fontId="4" fillId="0" borderId="10" xfId="3" applyFont="1" applyBorder="1" applyAlignment="1">
      <alignment horizontal="center" vertical="center" wrapText="1"/>
    </xf>
    <xf numFmtId="0" fontId="4" fillId="0" borderId="60" xfId="3" applyFont="1" applyBorder="1" applyAlignment="1">
      <alignment horizontal="center" vertical="center" wrapText="1"/>
    </xf>
    <xf numFmtId="0" fontId="38" fillId="0" borderId="0" xfId="5" applyFont="1" applyAlignment="1">
      <alignment horizontal="right" vertical="center"/>
    </xf>
    <xf numFmtId="0" fontId="38" fillId="0" borderId="21" xfId="5" applyFont="1" applyBorder="1" applyAlignment="1">
      <alignment horizontal="right" vertical="center"/>
    </xf>
    <xf numFmtId="0" fontId="39" fillId="0" borderId="0" xfId="5" applyFont="1" applyAlignment="1">
      <alignment horizontal="center" vertical="center"/>
    </xf>
    <xf numFmtId="0" fontId="39" fillId="0" borderId="21" xfId="5" applyFont="1" applyBorder="1" applyAlignment="1">
      <alignment horizontal="center" vertical="center"/>
    </xf>
    <xf numFmtId="0" fontId="38" fillId="0" borderId="0" xfId="5" applyFont="1" applyAlignment="1">
      <alignment horizontal="left" vertical="center"/>
    </xf>
    <xf numFmtId="0" fontId="38" fillId="0" borderId="21" xfId="5" applyFont="1" applyBorder="1" applyAlignment="1">
      <alignment horizontal="left" vertical="center"/>
    </xf>
    <xf numFmtId="0" fontId="19" fillId="0" borderId="14" xfId="3" applyFont="1" applyBorder="1" applyAlignment="1">
      <alignment horizontal="left" vertical="center"/>
    </xf>
    <xf numFmtId="0" fontId="19" fillId="0" borderId="2" xfId="3" applyFont="1" applyBorder="1" applyAlignment="1">
      <alignment horizontal="left" vertical="center"/>
    </xf>
    <xf numFmtId="0" fontId="17" fillId="7" borderId="14" xfId="3" applyFont="1" applyFill="1" applyBorder="1" applyAlignment="1">
      <alignment horizontal="center" vertical="center"/>
    </xf>
    <xf numFmtId="0" fontId="17" fillId="7" borderId="2" xfId="3" applyFont="1" applyFill="1" applyBorder="1" applyAlignment="1">
      <alignment horizontal="center" vertical="center"/>
    </xf>
    <xf numFmtId="4" fontId="17" fillId="7" borderId="2" xfId="3" applyNumberFormat="1" applyFont="1" applyFill="1" applyBorder="1" applyAlignment="1">
      <alignment horizontal="center" vertical="center" wrapText="1"/>
    </xf>
    <xf numFmtId="0" fontId="17" fillId="7" borderId="20" xfId="3" applyFont="1" applyFill="1" applyBorder="1" applyAlignment="1">
      <alignment horizontal="center" vertical="center"/>
    </xf>
    <xf numFmtId="0" fontId="19" fillId="8" borderId="2" xfId="3" applyFont="1" applyFill="1" applyBorder="1" applyAlignment="1">
      <alignment horizontal="center" vertical="center"/>
    </xf>
    <xf numFmtId="0" fontId="19" fillId="8" borderId="20" xfId="3" applyFont="1" applyFill="1" applyBorder="1" applyAlignment="1">
      <alignment horizontal="center" vertical="center"/>
    </xf>
    <xf numFmtId="10" fontId="19" fillId="8" borderId="2" xfId="3" applyNumberFormat="1" applyFont="1" applyFill="1" applyBorder="1" applyAlignment="1" applyProtection="1">
      <alignment horizontal="center" vertical="center"/>
      <protection locked="0"/>
    </xf>
    <xf numFmtId="10" fontId="19" fillId="8" borderId="20" xfId="3" applyNumberFormat="1" applyFont="1" applyFill="1" applyBorder="1" applyAlignment="1" applyProtection="1">
      <alignment horizontal="center" vertical="center"/>
      <protection locked="0"/>
    </xf>
    <xf numFmtId="1" fontId="19" fillId="0" borderId="0" xfId="4" applyNumberFormat="1" applyFont="1" applyAlignment="1">
      <alignment horizontal="left" vertical="center"/>
    </xf>
    <xf numFmtId="1" fontId="7" fillId="6" borderId="17" xfId="4" applyNumberFormat="1" applyFont="1" applyFill="1" applyBorder="1" applyAlignment="1">
      <alignment horizontal="center" vertical="center"/>
    </xf>
    <xf numFmtId="1" fontId="7" fillId="6" borderId="18" xfId="4" applyNumberFormat="1" applyFont="1" applyFill="1" applyBorder="1" applyAlignment="1">
      <alignment horizontal="center" vertical="center"/>
    </xf>
    <xf numFmtId="1" fontId="7" fillId="6" borderId="19" xfId="4" applyNumberFormat="1" applyFont="1" applyFill="1" applyBorder="1" applyAlignment="1">
      <alignment horizontal="center" vertical="center"/>
    </xf>
    <xf numFmtId="0" fontId="33" fillId="0" borderId="57" xfId="6" applyFont="1" applyBorder="1" applyAlignment="1">
      <alignment horizontal="center" vertical="center"/>
    </xf>
    <xf numFmtId="0" fontId="33" fillId="0" borderId="0" xfId="6" applyFont="1" applyAlignment="1">
      <alignment horizontal="center" vertical="center"/>
    </xf>
    <xf numFmtId="0" fontId="20" fillId="0" borderId="14" xfId="3" applyFont="1" applyBorder="1" applyAlignment="1">
      <alignment horizontal="left" vertical="center"/>
    </xf>
    <xf numFmtId="0" fontId="20" fillId="0" borderId="2" xfId="3" applyFont="1" applyBorder="1" applyAlignment="1">
      <alignment horizontal="left" vertical="center"/>
    </xf>
    <xf numFmtId="0" fontId="20" fillId="0" borderId="2" xfId="3" applyFont="1" applyBorder="1" applyAlignment="1">
      <alignment horizontal="center" vertical="center"/>
    </xf>
    <xf numFmtId="0" fontId="20" fillId="0" borderId="20" xfId="3" applyFont="1" applyBorder="1" applyAlignment="1">
      <alignment horizontal="center" vertical="center"/>
    </xf>
    <xf numFmtId="0" fontId="43" fillId="6" borderId="2" xfId="4" applyFont="1" applyFill="1" applyBorder="1" applyAlignment="1">
      <alignment horizontal="center" vertical="center"/>
    </xf>
    <xf numFmtId="0" fontId="7" fillId="6" borderId="62" xfId="4" applyFont="1" applyFill="1" applyBorder="1" applyAlignment="1">
      <alignment horizontal="center" vertical="center" wrapText="1"/>
    </xf>
    <xf numFmtId="0" fontId="7" fillId="6" borderId="68" xfId="4" applyFont="1" applyFill="1" applyBorder="1" applyAlignment="1">
      <alignment horizontal="center" vertical="center" wrapText="1"/>
    </xf>
    <xf numFmtId="0" fontId="7" fillId="6" borderId="63" xfId="4" applyFont="1" applyFill="1" applyBorder="1" applyAlignment="1">
      <alignment horizontal="center" vertical="center" wrapText="1"/>
    </xf>
    <xf numFmtId="0" fontId="43" fillId="6" borderId="16" xfId="4" applyFont="1" applyFill="1" applyBorder="1" applyAlignment="1">
      <alignment horizontal="center" vertical="center"/>
    </xf>
    <xf numFmtId="0" fontId="23" fillId="12" borderId="76" xfId="0" applyNumberFormat="1" applyFont="1" applyFill="1" applyBorder="1" applyAlignment="1">
      <alignment horizontal="center" vertical="center"/>
    </xf>
  </cellXfs>
  <cellStyles count="11">
    <cellStyle name="Hyperlink" xfId="10" xr:uid="{00000000-000B-0000-0000-000008000000}"/>
    <cellStyle name="Normal" xfId="0" builtinId="0"/>
    <cellStyle name="Normal 2" xfId="3" xr:uid="{800C7265-22EB-446A-897C-CAF6BFBDC5AF}"/>
    <cellStyle name="Normal 3" xfId="4" xr:uid="{79110523-240E-4759-85F1-3208B6DC7F32}"/>
    <cellStyle name="Normal 4" xfId="5" xr:uid="{021D1CA1-6211-402C-A43F-7137087B1432}"/>
    <cellStyle name="Normal 4 2" xfId="6" xr:uid="{67FB20BE-7802-48C6-8A9B-A32146C6D5D5}"/>
    <cellStyle name="Porcentagem" xfId="1" builtinId="5"/>
    <cellStyle name="Porcentagem 2" xfId="8" xr:uid="{BCD0FF9C-607A-420A-B983-BED9C6DA7511}"/>
    <cellStyle name="Porcentagem 3" xfId="2" xr:uid="{941D0CC1-B630-4EEA-9C83-C0E0E626991F}"/>
    <cellStyle name="Separador de milhares 2" xfId="9" xr:uid="{2C1E6948-58F4-4C99-8717-2C597B1ED9AE}"/>
    <cellStyle name="Vírgula 2" xfId="7" xr:uid="{2182D85D-3654-4BF9-A4A9-BEE0D981421D}"/>
  </cellStyles>
  <dxfs count="8">
    <dxf>
      <font>
        <color theme="0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color rgb="FFFFC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ndense val="0"/>
        <extend val="0"/>
        <color indexed="1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theme="1"/>
      </font>
      <fill>
        <patternFill>
          <bgColor theme="0" tint="-0.1499679555650502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</font>
      <fill>
        <patternFill>
          <bgColor theme="0" tint="-0.14996795556505021"/>
        </patternFill>
      </fill>
    </dxf>
    <dxf>
      <font>
        <color indexed="9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</font>
      <fill>
        <patternFill>
          <bgColor theme="0" tint="-0.14996795556505021"/>
        </patternFill>
      </fill>
    </dxf>
  </dxfs>
  <tableStyles count="0" defaultTableStyle="TableStyleMedium2" defaultPivotStyle="PivotStyleMedium9"/>
  <colors>
    <mruColors>
      <color rgb="FFFFFF99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vitor.feitoza\Downloads\novas%20planilhas\05-ANEXO-IV-PLANILHA-ORCAMENTARIA_LOTE-3%20-%20ATUALIZADAAAA.xlsx" TargetMode="External"/><Relationship Id="rId1" Type="http://schemas.openxmlformats.org/officeDocument/2006/relationships/externalLinkPath" Target="file:///C:\Users\vitor.feitoza\Downloads\novas%20planilhas\05-ANEXO-IV-PLANILHA-ORCAMENTARIA_LOTE-3%20-%20ATUALIZADAAA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PA"/>
      <sheetName val="INTRODUÇÃO"/>
      <sheetName val="COMPOSIÇÃO DE CUSTOS - LOTE 3_"/>
      <sheetName val="CRON LOTE 3_"/>
      <sheetName val="COMPOSIÇÃO DE CUSTOS - LOTE 5"/>
      <sheetName val="EQUIPE PERMANENTE"/>
      <sheetName val="CRON LOTE 5"/>
      <sheetName val="ENCARGOS SOCIAIS"/>
      <sheetName val="ENCARGOS COMPLEMENTARES"/>
      <sheetName val="DESPESAS DIVERSAS I"/>
      <sheetName val="DESPESAS DIVERSAS I (2)"/>
      <sheetName val="DESPESAS DIVERSAS II"/>
      <sheetName val="SERVIÇOS TÉCNICOS"/>
      <sheetName val="FATOR K"/>
      <sheetName val="REFERÊNCIAS"/>
      <sheetName val="ORÇAMENTO DE  PERFURADOR"/>
      <sheetName val="ORÇAMENTOS DE CABINE"/>
      <sheetName val="ORÇAMENTO DE IMPRESSÃO"/>
      <sheetName val="SALÁRIO COORDENADO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0">
          <cell r="I10">
            <v>399.66</v>
          </cell>
        </row>
        <row r="20">
          <cell r="I20">
            <v>162.4</v>
          </cell>
        </row>
        <row r="40">
          <cell r="I40">
            <v>113.38</v>
          </cell>
        </row>
        <row r="50">
          <cell r="I50">
            <v>160.58000000000001</v>
          </cell>
        </row>
        <row r="62">
          <cell r="I62">
            <v>200.05</v>
          </cell>
        </row>
        <row r="72">
          <cell r="I72">
            <v>160.63</v>
          </cell>
        </row>
        <row r="100">
          <cell r="I100">
            <v>199.22</v>
          </cell>
        </row>
        <row r="122">
          <cell r="I122">
            <v>2.35</v>
          </cell>
        </row>
        <row r="140">
          <cell r="I140">
            <v>84.87</v>
          </cell>
        </row>
        <row r="151">
          <cell r="I151">
            <v>16.8</v>
          </cell>
        </row>
        <row r="193">
          <cell r="I193">
            <v>114.77</v>
          </cell>
        </row>
        <row r="205">
          <cell r="I205">
            <v>270.51</v>
          </cell>
        </row>
        <row r="216">
          <cell r="I216">
            <v>15.46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4B4DE-C6E9-4093-A935-6C218B3A28B4}">
  <dimension ref="B20:B39"/>
  <sheetViews>
    <sheetView topLeftCell="A24" workbookViewId="0">
      <selection activeCell="B27" sqref="B27"/>
    </sheetView>
  </sheetViews>
  <sheetFormatPr defaultColWidth="8.85546875" defaultRowHeight="15" x14ac:dyDescent="0.25"/>
  <cols>
    <col min="1" max="1" width="9.140625" customWidth="1"/>
    <col min="2" max="2" width="85.7109375" customWidth="1"/>
  </cols>
  <sheetData>
    <row r="20" spans="2:2" ht="15.75" x14ac:dyDescent="0.25">
      <c r="B20" s="119" t="s">
        <v>0</v>
      </c>
    </row>
    <row r="24" spans="2:2" ht="96.75" customHeight="1" x14ac:dyDescent="0.25">
      <c r="B24" s="469" t="s">
        <v>1</v>
      </c>
    </row>
    <row r="26" spans="2:2" ht="15.75" x14ac:dyDescent="0.25">
      <c r="B26" s="423" t="s">
        <v>524</v>
      </c>
    </row>
    <row r="27" spans="2:2" x14ac:dyDescent="0.25">
      <c r="B27" s="424"/>
    </row>
    <row r="28" spans="2:2" x14ac:dyDescent="0.25">
      <c r="B28" s="424"/>
    </row>
    <row r="29" spans="2:2" x14ac:dyDescent="0.25">
      <c r="B29" s="425" t="s">
        <v>2</v>
      </c>
    </row>
    <row r="30" spans="2:2" x14ac:dyDescent="0.25">
      <c r="B30" s="424"/>
    </row>
    <row r="31" spans="2:2" x14ac:dyDescent="0.25">
      <c r="B31" s="424"/>
    </row>
    <row r="32" spans="2:2" x14ac:dyDescent="0.25">
      <c r="B32" s="424"/>
    </row>
    <row r="33" spans="2:2" x14ac:dyDescent="0.25">
      <c r="B33" s="424"/>
    </row>
    <row r="34" spans="2:2" x14ac:dyDescent="0.25">
      <c r="B34" s="424"/>
    </row>
    <row r="35" spans="2:2" x14ac:dyDescent="0.25">
      <c r="B35" s="424"/>
    </row>
    <row r="36" spans="2:2" x14ac:dyDescent="0.25">
      <c r="B36" s="424"/>
    </row>
    <row r="37" spans="2:2" x14ac:dyDescent="0.25">
      <c r="B37" s="424"/>
    </row>
    <row r="38" spans="2:2" x14ac:dyDescent="0.25">
      <c r="B38" s="426" t="s">
        <v>3</v>
      </c>
    </row>
    <row r="39" spans="2:2" x14ac:dyDescent="0.25">
      <c r="B39" s="424"/>
    </row>
  </sheetData>
  <printOptions horizontalCentered="1"/>
  <pageMargins left="0" right="0" top="0" bottom="0" header="0" footer="0"/>
  <pageSetup paperSize="9" orientation="portrait" horizontalDpi="1200" verticalDpi="1200" r:id="rId1"/>
  <headerFooter>
    <oddHeader>&amp;C&amp;G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5C278-E276-44C7-BA43-A2139EEB7C9F}">
  <dimension ref="A1:J45"/>
  <sheetViews>
    <sheetView topLeftCell="C36" workbookViewId="0">
      <selection activeCell="G56" sqref="G56"/>
    </sheetView>
  </sheetViews>
  <sheetFormatPr defaultColWidth="9.140625" defaultRowHeight="15" x14ac:dyDescent="0.25"/>
  <cols>
    <col min="1" max="1" width="6.7109375" style="43" bestFit="1" customWidth="1"/>
    <col min="2" max="2" width="9" style="43" bestFit="1" customWidth="1"/>
    <col min="3" max="3" width="13.85546875" style="43" bestFit="1" customWidth="1"/>
    <col min="4" max="4" width="6.7109375" style="43" bestFit="1" customWidth="1"/>
    <col min="5" max="5" width="35.42578125" style="43" customWidth="1"/>
    <col min="6" max="6" width="17" style="43" bestFit="1" customWidth="1"/>
    <col min="7" max="7" width="7.42578125" style="43" bestFit="1" customWidth="1"/>
    <col min="8" max="8" width="8" style="43" bestFit="1" customWidth="1"/>
    <col min="9" max="9" width="14.7109375" style="43" bestFit="1" customWidth="1"/>
    <col min="10" max="10" width="16.42578125" style="43" customWidth="1"/>
    <col min="11" max="16384" width="9.140625" style="43"/>
  </cols>
  <sheetData>
    <row r="1" spans="1:10" ht="16.5" thickBot="1" x14ac:dyDescent="0.3">
      <c r="A1" s="597" t="s">
        <v>4</v>
      </c>
      <c r="B1" s="598"/>
      <c r="C1" s="598"/>
      <c r="D1" s="598"/>
      <c r="E1" s="598"/>
      <c r="F1" s="598"/>
      <c r="G1" s="598"/>
      <c r="H1" s="598"/>
      <c r="I1" s="598"/>
      <c r="J1" s="599"/>
    </row>
    <row r="2" spans="1:10" ht="15.75" thickBot="1" x14ac:dyDescent="0.3"/>
    <row r="3" spans="1:10" x14ac:dyDescent="0.25">
      <c r="A3" s="613" t="s">
        <v>5</v>
      </c>
      <c r="B3" s="614"/>
      <c r="C3" s="614"/>
      <c r="D3" s="614"/>
      <c r="E3" s="614"/>
      <c r="F3" s="614"/>
      <c r="G3" s="614"/>
      <c r="H3" s="614"/>
      <c r="I3" s="614"/>
      <c r="J3" s="615"/>
    </row>
    <row r="4" spans="1:10" ht="25.5" x14ac:dyDescent="0.25">
      <c r="A4" s="3" t="s">
        <v>6</v>
      </c>
      <c r="B4" s="4" t="s">
        <v>7</v>
      </c>
      <c r="C4" s="4" t="s">
        <v>8</v>
      </c>
      <c r="D4" s="5" t="s">
        <v>9</v>
      </c>
      <c r="E4" s="5" t="s">
        <v>10</v>
      </c>
      <c r="F4" s="6" t="s">
        <v>11</v>
      </c>
      <c r="G4" s="5" t="s">
        <v>12</v>
      </c>
      <c r="H4" s="5" t="s">
        <v>13</v>
      </c>
      <c r="I4" s="6" t="s">
        <v>14</v>
      </c>
      <c r="J4" s="7" t="s">
        <v>15</v>
      </c>
    </row>
    <row r="5" spans="1:10" x14ac:dyDescent="0.25">
      <c r="A5" s="8">
        <v>1</v>
      </c>
      <c r="B5" s="604" t="s">
        <v>16</v>
      </c>
      <c r="C5" s="605"/>
      <c r="D5" s="605"/>
      <c r="E5" s="606"/>
      <c r="F5" s="9" t="s">
        <v>17</v>
      </c>
      <c r="G5" s="10"/>
      <c r="H5" s="11"/>
      <c r="I5" s="12" t="e">
        <f>SUM(I6:I17)</f>
        <v>#DIV/0!</v>
      </c>
      <c r="J5" s="296" t="e">
        <f>SUM(J6:J17)</f>
        <v>#DIV/0!</v>
      </c>
    </row>
    <row r="6" spans="1:10" x14ac:dyDescent="0.25">
      <c r="A6" s="279" t="s">
        <v>18</v>
      </c>
      <c r="B6" s="275"/>
      <c r="C6" s="280">
        <f>'EQUIPE PERMANENTE'!D6</f>
        <v>0</v>
      </c>
      <c r="D6" s="272"/>
      <c r="E6" s="301" t="s">
        <v>19</v>
      </c>
      <c r="F6" s="16" t="e">
        <f>'EQUIPE PERMANENTE'!D64/6</f>
        <v>#DIV/0!</v>
      </c>
      <c r="G6" s="14" t="s">
        <v>20</v>
      </c>
      <c r="H6" s="17">
        <v>15</v>
      </c>
      <c r="I6" s="16" t="e">
        <f>H6*F6</f>
        <v>#DIV/0!</v>
      </c>
      <c r="J6" s="290" t="e">
        <f t="shared" ref="J6:J17" si="0">I6/$I$25</f>
        <v>#DIV/0!</v>
      </c>
    </row>
    <row r="7" spans="1:10" x14ac:dyDescent="0.25">
      <c r="A7" s="279" t="s">
        <v>21</v>
      </c>
      <c r="B7" s="276">
        <f>'EQUIPE PERMANENTE'!F5</f>
        <v>0</v>
      </c>
      <c r="C7" s="280">
        <f>'EQUIPE PERMANENTE'!F6</f>
        <v>0</v>
      </c>
      <c r="D7" s="272">
        <f>'EQUIPE PERMANENTE'!F7</f>
        <v>0</v>
      </c>
      <c r="E7" s="302" t="s">
        <v>22</v>
      </c>
      <c r="F7" s="16" t="e">
        <f>'EQUIPE PERMANENTE'!F64/6</f>
        <v>#DIV/0!</v>
      </c>
      <c r="G7" s="14" t="s">
        <v>20</v>
      </c>
      <c r="H7" s="20">
        <v>15</v>
      </c>
      <c r="I7" s="16" t="e">
        <f t="shared" ref="I7:I17" si="1">H7*F7</f>
        <v>#DIV/0!</v>
      </c>
      <c r="J7" s="290" t="e">
        <f t="shared" si="0"/>
        <v>#DIV/0!</v>
      </c>
    </row>
    <row r="8" spans="1:10" x14ac:dyDescent="0.25">
      <c r="A8" s="279" t="s">
        <v>23</v>
      </c>
      <c r="B8" s="276">
        <f>'EQUIPE PERMANENTE'!H5</f>
        <v>0</v>
      </c>
      <c r="C8" s="280">
        <f>'EQUIPE PERMANENTE'!F6</f>
        <v>0</v>
      </c>
      <c r="D8" s="272">
        <f>'EQUIPE PERMANENTE'!H7</f>
        <v>0</v>
      </c>
      <c r="E8" s="302" t="s">
        <v>24</v>
      </c>
      <c r="F8" s="16" t="e">
        <f>'EQUIPE PERMANENTE'!H64/6</f>
        <v>#DIV/0!</v>
      </c>
      <c r="G8" s="14" t="s">
        <v>20</v>
      </c>
      <c r="H8" s="20">
        <v>15</v>
      </c>
      <c r="I8" s="16" t="e">
        <f t="shared" si="1"/>
        <v>#DIV/0!</v>
      </c>
      <c r="J8" s="290" t="e">
        <f t="shared" si="0"/>
        <v>#DIV/0!</v>
      </c>
    </row>
    <row r="9" spans="1:10" x14ac:dyDescent="0.25">
      <c r="A9" s="279" t="s">
        <v>25</v>
      </c>
      <c r="B9" s="277">
        <f>'EQUIPE PERMANENTE'!J5</f>
        <v>0</v>
      </c>
      <c r="C9" s="280">
        <f>'EQUIPE PERMANENTE'!J6</f>
        <v>0</v>
      </c>
      <c r="D9" s="272">
        <f>'EQUIPE PERMANENTE'!J7</f>
        <v>0</v>
      </c>
      <c r="E9" s="302" t="s">
        <v>26</v>
      </c>
      <c r="F9" s="16" t="e">
        <f>'EQUIPE PERMANENTE'!J64/6</f>
        <v>#DIV/0!</v>
      </c>
      <c r="G9" s="14" t="s">
        <v>20</v>
      </c>
      <c r="H9" s="20">
        <v>15</v>
      </c>
      <c r="I9" s="16" t="e">
        <f t="shared" si="1"/>
        <v>#DIV/0!</v>
      </c>
      <c r="J9" s="290" t="e">
        <f t="shared" si="0"/>
        <v>#DIV/0!</v>
      </c>
    </row>
    <row r="10" spans="1:10" x14ac:dyDescent="0.25">
      <c r="A10" s="279" t="s">
        <v>27</v>
      </c>
      <c r="B10" s="276">
        <f>'EQUIPE PERMANENTE'!L5</f>
        <v>0</v>
      </c>
      <c r="C10" s="280">
        <f>'EQUIPE PERMANENTE'!L6</f>
        <v>0</v>
      </c>
      <c r="D10" s="272">
        <f>'EQUIPE PERMANENTE'!L7</f>
        <v>0</v>
      </c>
      <c r="E10" s="19" t="s">
        <v>28</v>
      </c>
      <c r="F10" s="304" t="e">
        <f>'EQUIPE PERMANENTE'!L64</f>
        <v>#DIV/0!</v>
      </c>
      <c r="G10" s="14" t="s">
        <v>20</v>
      </c>
      <c r="H10" s="20">
        <v>12</v>
      </c>
      <c r="I10" s="16" t="e">
        <f t="shared" si="1"/>
        <v>#DIV/0!</v>
      </c>
      <c r="J10" s="290" t="e">
        <f t="shared" si="0"/>
        <v>#DIV/0!</v>
      </c>
    </row>
    <row r="11" spans="1:10" x14ac:dyDescent="0.25">
      <c r="A11" s="279" t="s">
        <v>29</v>
      </c>
      <c r="B11" s="278">
        <f>'EQUIPE PERMANENTE'!N5</f>
        <v>0</v>
      </c>
      <c r="C11" s="280">
        <f>'EQUIPE PERMANENTE'!N6</f>
        <v>0</v>
      </c>
      <c r="D11" s="272">
        <f>'EQUIPE PERMANENTE'!N7</f>
        <v>0</v>
      </c>
      <c r="E11" s="19" t="s">
        <v>30</v>
      </c>
      <c r="F11" s="16" t="e">
        <f>'EQUIPE PERMANENTE'!N64</f>
        <v>#DIV/0!</v>
      </c>
      <c r="G11" s="14" t="s">
        <v>20</v>
      </c>
      <c r="H11" s="20">
        <v>12</v>
      </c>
      <c r="I11" s="16" t="e">
        <f t="shared" si="1"/>
        <v>#DIV/0!</v>
      </c>
      <c r="J11" s="290" t="e">
        <f t="shared" si="0"/>
        <v>#DIV/0!</v>
      </c>
    </row>
    <row r="12" spans="1:10" x14ac:dyDescent="0.25">
      <c r="A12" s="279" t="s">
        <v>31</v>
      </c>
      <c r="B12" s="277">
        <f>'EQUIPE PERMANENTE'!P5</f>
        <v>0</v>
      </c>
      <c r="C12" s="280">
        <f>'EQUIPE PERMANENTE'!P6</f>
        <v>0</v>
      </c>
      <c r="D12" s="272">
        <f>'EQUIPE PERMANENTE'!P7</f>
        <v>0</v>
      </c>
      <c r="E12" s="19" t="s">
        <v>32</v>
      </c>
      <c r="F12" s="16" t="e">
        <f>'EQUIPE PERMANENTE'!P64</f>
        <v>#DIV/0!</v>
      </c>
      <c r="G12" s="14" t="s">
        <v>20</v>
      </c>
      <c r="H12" s="20">
        <v>12</v>
      </c>
      <c r="I12" s="16" t="e">
        <f t="shared" si="1"/>
        <v>#DIV/0!</v>
      </c>
      <c r="J12" s="290" t="e">
        <f t="shared" si="0"/>
        <v>#DIV/0!</v>
      </c>
    </row>
    <row r="13" spans="1:10" x14ac:dyDescent="0.25">
      <c r="A13" s="279" t="s">
        <v>31</v>
      </c>
      <c r="B13" s="277">
        <f>'EQUIPE PERMANENTE'!P5</f>
        <v>0</v>
      </c>
      <c r="C13" s="280">
        <f>'EQUIPE PERMANENTE'!P6</f>
        <v>0</v>
      </c>
      <c r="D13" s="272">
        <f>'EQUIPE PERMANENTE'!P7</f>
        <v>0</v>
      </c>
      <c r="E13" s="19" t="s">
        <v>32</v>
      </c>
      <c r="F13" s="16" t="e">
        <f>'EQUIPE PERMANENTE'!P64</f>
        <v>#DIV/0!</v>
      </c>
      <c r="G13" s="14" t="s">
        <v>20</v>
      </c>
      <c r="H13" s="20">
        <v>12</v>
      </c>
      <c r="I13" s="16" t="e">
        <f t="shared" si="1"/>
        <v>#DIV/0!</v>
      </c>
      <c r="J13" s="290" t="e">
        <f t="shared" si="0"/>
        <v>#DIV/0!</v>
      </c>
    </row>
    <row r="14" spans="1:10" x14ac:dyDescent="0.25">
      <c r="A14" s="279" t="s">
        <v>33</v>
      </c>
      <c r="B14" s="277">
        <f>'EQUIPE PERMANENTE'!R5</f>
        <v>0</v>
      </c>
      <c r="C14" s="280">
        <f>'EQUIPE PERMANENTE'!R6</f>
        <v>0</v>
      </c>
      <c r="D14" s="272">
        <f>'EQUIPE PERMANENTE'!R7</f>
        <v>0</v>
      </c>
      <c r="E14" s="19" t="s">
        <v>34</v>
      </c>
      <c r="F14" s="16" t="e">
        <f>'EQUIPE PERMANENTE'!R64</f>
        <v>#DIV/0!</v>
      </c>
      <c r="G14" s="14" t="s">
        <v>20</v>
      </c>
      <c r="H14" s="20">
        <v>12</v>
      </c>
      <c r="I14" s="16" t="e">
        <f t="shared" si="1"/>
        <v>#DIV/0!</v>
      </c>
      <c r="J14" s="290" t="e">
        <f t="shared" si="0"/>
        <v>#DIV/0!</v>
      </c>
    </row>
    <row r="15" spans="1:10" x14ac:dyDescent="0.25">
      <c r="A15" s="279" t="s">
        <v>33</v>
      </c>
      <c r="B15" s="277">
        <f>'EQUIPE PERMANENTE'!R5</f>
        <v>0</v>
      </c>
      <c r="C15" s="280">
        <f>'EQUIPE PERMANENTE'!R6</f>
        <v>0</v>
      </c>
      <c r="D15" s="272">
        <f>'EQUIPE PERMANENTE'!R7</f>
        <v>0</v>
      </c>
      <c r="E15" s="19" t="s">
        <v>34</v>
      </c>
      <c r="F15" s="16" t="e">
        <f>'EQUIPE PERMANENTE'!R64</f>
        <v>#DIV/0!</v>
      </c>
      <c r="G15" s="14" t="s">
        <v>20</v>
      </c>
      <c r="H15" s="20">
        <v>12</v>
      </c>
      <c r="I15" s="16" t="e">
        <f t="shared" si="1"/>
        <v>#DIV/0!</v>
      </c>
      <c r="J15" s="290" t="e">
        <f t="shared" si="0"/>
        <v>#DIV/0!</v>
      </c>
    </row>
    <row r="16" spans="1:10" x14ac:dyDescent="0.25">
      <c r="A16" s="279" t="s">
        <v>33</v>
      </c>
      <c r="B16" s="277">
        <f>'EQUIPE PERMANENTE'!R5</f>
        <v>0</v>
      </c>
      <c r="C16" s="280">
        <f>'EQUIPE PERMANENTE'!R6</f>
        <v>0</v>
      </c>
      <c r="D16" s="272">
        <f>'EQUIPE PERMANENTE'!R7</f>
        <v>0</v>
      </c>
      <c r="E16" s="19" t="s">
        <v>34</v>
      </c>
      <c r="F16" s="16" t="e">
        <f>'EQUIPE PERMANENTE'!R64</f>
        <v>#DIV/0!</v>
      </c>
      <c r="G16" s="14" t="s">
        <v>20</v>
      </c>
      <c r="H16" s="20">
        <v>12</v>
      </c>
      <c r="I16" s="16" t="e">
        <f t="shared" si="1"/>
        <v>#DIV/0!</v>
      </c>
      <c r="J16" s="290" t="e">
        <f t="shared" si="0"/>
        <v>#DIV/0!</v>
      </c>
    </row>
    <row r="17" spans="1:10" x14ac:dyDescent="0.25">
      <c r="A17" s="279" t="s">
        <v>33</v>
      </c>
      <c r="B17" s="277">
        <f>'EQUIPE PERMANENTE'!R5</f>
        <v>0</v>
      </c>
      <c r="C17" s="280">
        <f>'EQUIPE PERMANENTE'!R6</f>
        <v>0</v>
      </c>
      <c r="D17" s="272">
        <f>'EQUIPE PERMANENTE'!R7</f>
        <v>0</v>
      </c>
      <c r="E17" s="19" t="s">
        <v>34</v>
      </c>
      <c r="F17" s="16" t="e">
        <f>'EQUIPE PERMANENTE'!R64</f>
        <v>#DIV/0!</v>
      </c>
      <c r="G17" s="14" t="s">
        <v>20</v>
      </c>
      <c r="H17" s="20">
        <v>12</v>
      </c>
      <c r="I17" s="16" t="e">
        <f t="shared" si="1"/>
        <v>#DIV/0!</v>
      </c>
      <c r="J17" s="290" t="e">
        <f t="shared" si="0"/>
        <v>#DIV/0!</v>
      </c>
    </row>
    <row r="18" spans="1:10" x14ac:dyDescent="0.25">
      <c r="A18" s="21">
        <v>2</v>
      </c>
      <c r="B18" s="603" t="s">
        <v>35</v>
      </c>
      <c r="C18" s="601"/>
      <c r="D18" s="601"/>
      <c r="E18" s="602"/>
      <c r="F18" s="23" t="s">
        <v>36</v>
      </c>
      <c r="G18" s="24"/>
      <c r="H18" s="22"/>
      <c r="I18" s="25" t="e">
        <f>SUM(I19:I23)</f>
        <v>#REF!</v>
      </c>
      <c r="J18" s="296" t="e">
        <f>SUM(J19:J23)</f>
        <v>#DIV/0!</v>
      </c>
    </row>
    <row r="19" spans="1:10" x14ac:dyDescent="0.25">
      <c r="A19" s="13" t="s">
        <v>37</v>
      </c>
      <c r="B19" s="17" t="e">
        <f>'DESPESAS DIVERSAS I'!#REF!</f>
        <v>#REF!</v>
      </c>
      <c r="C19" s="14" t="e">
        <f>'DESPESAS DIVERSAS I'!#REF!</f>
        <v>#REF!</v>
      </c>
      <c r="D19" s="272" t="e">
        <f>'DESPESAS DIVERSAS I'!#REF!</f>
        <v>#REF!</v>
      </c>
      <c r="E19" s="15" t="s">
        <v>38</v>
      </c>
      <c r="F19" s="16">
        <f>'DESPESAS DIVERSAS I'!B7/6</f>
        <v>0</v>
      </c>
      <c r="G19" s="14" t="s">
        <v>20</v>
      </c>
      <c r="H19" s="14">
        <v>15</v>
      </c>
      <c r="I19" s="16">
        <f>H19*F19</f>
        <v>0</v>
      </c>
      <c r="J19" s="290" t="e">
        <f>I19/$I$25</f>
        <v>#DIV/0!</v>
      </c>
    </row>
    <row r="20" spans="1:10" x14ac:dyDescent="0.25">
      <c r="A20" s="13" t="s">
        <v>39</v>
      </c>
      <c r="B20" s="17" t="e">
        <f>'DESPESAS DIVERSAS I'!#REF!</f>
        <v>#REF!</v>
      </c>
      <c r="C20" s="14" t="e">
        <f>'DESPESAS DIVERSAS I'!#REF!</f>
        <v>#REF!</v>
      </c>
      <c r="D20" s="272" t="e">
        <f>'DESPESAS DIVERSAS I'!#REF!</f>
        <v>#REF!</v>
      </c>
      <c r="E20" s="15" t="s">
        <v>40</v>
      </c>
      <c r="F20" s="16">
        <f>'DESPESAS DIVERSAS I'!C7</f>
        <v>0</v>
      </c>
      <c r="G20" s="14" t="s">
        <v>20</v>
      </c>
      <c r="H20" s="14">
        <v>12</v>
      </c>
      <c r="I20" s="16">
        <f t="shared" ref="I20:I23" si="2">H20*F20</f>
        <v>0</v>
      </c>
      <c r="J20" s="290" t="e">
        <f>I20/$I$25</f>
        <v>#DIV/0!</v>
      </c>
    </row>
    <row r="21" spans="1:10" x14ac:dyDescent="0.25">
      <c r="A21" s="13" t="s">
        <v>41</v>
      </c>
      <c r="B21" s="20" t="e">
        <f>'DESPESAS DIVERSAS I'!#REF!</f>
        <v>#REF!</v>
      </c>
      <c r="C21" s="18" t="e">
        <f>'DESPESAS DIVERSAS I'!#REF!</f>
        <v>#REF!</v>
      </c>
      <c r="D21" s="288" t="e">
        <f>'DESPESAS DIVERSAS I'!#REF!</f>
        <v>#REF!</v>
      </c>
      <c r="E21" s="19" t="s">
        <v>42</v>
      </c>
      <c r="F21" s="16">
        <f>'DESPESAS DIVERSAS I'!D7</f>
        <v>0</v>
      </c>
      <c r="G21" s="14" t="s">
        <v>20</v>
      </c>
      <c r="H21" s="18">
        <v>12</v>
      </c>
      <c r="I21" s="16">
        <f t="shared" si="2"/>
        <v>0</v>
      </c>
      <c r="J21" s="290" t="e">
        <f>I21/$I$25</f>
        <v>#DIV/0!</v>
      </c>
    </row>
    <row r="22" spans="1:10" x14ac:dyDescent="0.25">
      <c r="A22" s="13" t="s">
        <v>43</v>
      </c>
      <c r="B22" s="20" t="s">
        <v>44</v>
      </c>
      <c r="C22" s="18" t="s">
        <v>45</v>
      </c>
      <c r="D22" s="288">
        <v>45383</v>
      </c>
      <c r="E22" s="26" t="s">
        <v>46</v>
      </c>
      <c r="F22" s="16" t="e">
        <f>'DESPESAS DIVERSAS II'!#REF!/6</f>
        <v>#REF!</v>
      </c>
      <c r="G22" s="14" t="s">
        <v>20</v>
      </c>
      <c r="H22" s="18">
        <v>15</v>
      </c>
      <c r="I22" s="16" t="e">
        <f t="shared" si="2"/>
        <v>#REF!</v>
      </c>
      <c r="J22" s="290" t="e">
        <f>I22/$I$25</f>
        <v>#REF!</v>
      </c>
    </row>
    <row r="23" spans="1:10" x14ac:dyDescent="0.25">
      <c r="A23" s="13" t="s">
        <v>47</v>
      </c>
      <c r="B23" s="20" t="s">
        <v>44</v>
      </c>
      <c r="C23" s="18" t="s">
        <v>45</v>
      </c>
      <c r="D23" s="288">
        <v>45383</v>
      </c>
      <c r="E23" s="26" t="s">
        <v>48</v>
      </c>
      <c r="F23" s="16" t="e">
        <f>'DESPESAS DIVERSAS II'!#REF!</f>
        <v>#REF!</v>
      </c>
      <c r="G23" s="14" t="s">
        <v>20</v>
      </c>
      <c r="H23" s="18">
        <v>12</v>
      </c>
      <c r="I23" s="16" t="e">
        <f t="shared" si="2"/>
        <v>#REF!</v>
      </c>
      <c r="J23" s="290" t="e">
        <f>I23/$I$25</f>
        <v>#REF!</v>
      </c>
    </row>
    <row r="24" spans="1:10" x14ac:dyDescent="0.25">
      <c r="A24" s="121"/>
      <c r="B24" s="122"/>
      <c r="C24" s="122"/>
      <c r="D24" s="122"/>
      <c r="E24" s="122"/>
      <c r="F24" s="122"/>
      <c r="G24" s="122"/>
      <c r="H24" s="122"/>
      <c r="I24" s="122"/>
      <c r="J24" s="321"/>
    </row>
    <row r="25" spans="1:10" x14ac:dyDescent="0.25">
      <c r="A25" s="607" t="s">
        <v>49</v>
      </c>
      <c r="B25" s="608"/>
      <c r="C25" s="608"/>
      <c r="D25" s="608"/>
      <c r="E25" s="608"/>
      <c r="F25" s="608"/>
      <c r="G25" s="608"/>
      <c r="H25" s="608"/>
      <c r="I25" s="126" t="e">
        <f>I5+I18</f>
        <v>#DIV/0!</v>
      </c>
      <c r="J25" s="322" t="e">
        <f>I25/I25</f>
        <v>#DIV/0!</v>
      </c>
    </row>
    <row r="26" spans="1:10" x14ac:dyDescent="0.25">
      <c r="A26" s="609" t="s">
        <v>50</v>
      </c>
      <c r="B26" s="610"/>
      <c r="C26" s="610"/>
      <c r="D26" s="610"/>
      <c r="E26" s="610"/>
      <c r="F26" s="610"/>
      <c r="G26" s="610"/>
      <c r="H26" s="610"/>
      <c r="I26" s="123">
        <v>4</v>
      </c>
      <c r="J26" s="124" t="s">
        <v>51</v>
      </c>
    </row>
    <row r="27" spans="1:10" ht="15.75" thickBot="1" x14ac:dyDescent="0.3">
      <c r="A27" s="611" t="s">
        <v>52</v>
      </c>
      <c r="B27" s="612"/>
      <c r="C27" s="612"/>
      <c r="D27" s="612"/>
      <c r="E27" s="612"/>
      <c r="F27" s="612"/>
      <c r="G27" s="612"/>
      <c r="H27" s="612"/>
      <c r="I27" s="128" t="e">
        <f>I25*I26</f>
        <v>#DIV/0!</v>
      </c>
      <c r="J27" s="125" t="s">
        <v>51</v>
      </c>
    </row>
    <row r="28" spans="1:10" ht="48" customHeight="1" thickBot="1" x14ac:dyDescent="0.3">
      <c r="A28" s="122"/>
      <c r="B28" s="122"/>
      <c r="C28" s="122"/>
      <c r="D28" s="122"/>
      <c r="E28" s="122"/>
      <c r="F28" s="122"/>
      <c r="G28" s="122"/>
      <c r="H28" s="122"/>
      <c r="I28" s="122"/>
      <c r="J28" s="122"/>
    </row>
    <row r="29" spans="1:10" x14ac:dyDescent="0.25">
      <c r="A29" s="594" t="s">
        <v>53</v>
      </c>
      <c r="B29" s="595"/>
      <c r="C29" s="595"/>
      <c r="D29" s="595"/>
      <c r="E29" s="595"/>
      <c r="F29" s="595"/>
      <c r="G29" s="595"/>
      <c r="H29" s="595"/>
      <c r="I29" s="595"/>
      <c r="J29" s="596"/>
    </row>
    <row r="30" spans="1:10" ht="25.5" x14ac:dyDescent="0.25">
      <c r="A30" s="3" t="s">
        <v>6</v>
      </c>
      <c r="B30" s="28" t="s">
        <v>7</v>
      </c>
      <c r="C30" s="28" t="s">
        <v>54</v>
      </c>
      <c r="D30" s="6" t="s">
        <v>9</v>
      </c>
      <c r="E30" s="6" t="s">
        <v>10</v>
      </c>
      <c r="F30" s="6" t="s">
        <v>55</v>
      </c>
      <c r="G30" s="5" t="s">
        <v>12</v>
      </c>
      <c r="H30" s="6" t="s">
        <v>13</v>
      </c>
      <c r="I30" s="6" t="s">
        <v>14</v>
      </c>
      <c r="J30" s="7" t="s">
        <v>15</v>
      </c>
    </row>
    <row r="31" spans="1:10" x14ac:dyDescent="0.25">
      <c r="A31" s="29">
        <v>3</v>
      </c>
      <c r="B31" s="600" t="s">
        <v>56</v>
      </c>
      <c r="C31" s="601"/>
      <c r="D31" s="601"/>
      <c r="E31" s="602"/>
      <c r="F31" s="30" t="s">
        <v>57</v>
      </c>
      <c r="G31" s="30"/>
      <c r="H31" s="31"/>
      <c r="I31" s="32">
        <f>SUM(I32:I34)</f>
        <v>0</v>
      </c>
      <c r="J31" s="298" t="e">
        <f>SUM(J32:J34)</f>
        <v>#REF!</v>
      </c>
    </row>
    <row r="32" spans="1:10" x14ac:dyDescent="0.25">
      <c r="A32" s="33" t="s">
        <v>58</v>
      </c>
      <c r="B32" s="34" t="e">
        <f>'SERVIÇOS TÉCNICOS'!#REF!</f>
        <v>#REF!</v>
      </c>
      <c r="C32" s="34" t="e">
        <f>'SERVIÇOS TÉCNICOS'!#REF!</f>
        <v>#REF!</v>
      </c>
      <c r="D32" s="271" t="e">
        <f>'SERVIÇOS TÉCNICOS'!#REF!</f>
        <v>#REF!</v>
      </c>
      <c r="E32" s="35" t="s">
        <v>59</v>
      </c>
      <c r="F32" s="27">
        <f>'SERVIÇOS TÉCNICOS'!H6</f>
        <v>0</v>
      </c>
      <c r="G32" s="34" t="s">
        <v>60</v>
      </c>
      <c r="H32" s="34">
        <v>960</v>
      </c>
      <c r="I32" s="27">
        <f>H32*F32</f>
        <v>0</v>
      </c>
      <c r="J32" s="323" t="e">
        <f>I32/$I$41</f>
        <v>#REF!</v>
      </c>
    </row>
    <row r="33" spans="1:10" ht="103.5" customHeight="1" x14ac:dyDescent="0.25">
      <c r="A33" s="33" t="s">
        <v>61</v>
      </c>
      <c r="B33" s="34">
        <f>'SERVIÇOS TÉCNICOS'!B7</f>
        <v>0</v>
      </c>
      <c r="C33" s="36">
        <f>'SERVIÇOS TÉCNICOS'!C7</f>
        <v>0</v>
      </c>
      <c r="D33" s="287">
        <f>'SERVIÇOS TÉCNICOS'!D7</f>
        <v>0</v>
      </c>
      <c r="E33" s="317" t="s">
        <v>62</v>
      </c>
      <c r="F33" s="27">
        <f>'SERVIÇOS TÉCNICOS'!H7</f>
        <v>0</v>
      </c>
      <c r="G33" s="34" t="s">
        <v>63</v>
      </c>
      <c r="H33" s="34">
        <v>7</v>
      </c>
      <c r="I33" s="27">
        <f t="shared" ref="I33:I34" si="3">H33*F33</f>
        <v>0</v>
      </c>
      <c r="J33" s="323" t="e">
        <f>I33/$I$41</f>
        <v>#REF!</v>
      </c>
    </row>
    <row r="34" spans="1:10" x14ac:dyDescent="0.25">
      <c r="A34" s="33" t="s">
        <v>64</v>
      </c>
      <c r="B34" s="34">
        <f>'SERVIÇOS TÉCNICOS'!B8</f>
        <v>0</v>
      </c>
      <c r="C34" s="36">
        <f>'SERVIÇOS TÉCNICOS'!C8</f>
        <v>0</v>
      </c>
      <c r="D34" s="287">
        <f>'SERVIÇOS TÉCNICOS'!D8</f>
        <v>0</v>
      </c>
      <c r="E34" s="35" t="s">
        <v>65</v>
      </c>
      <c r="F34" s="27">
        <f>'SERVIÇOS TÉCNICOS'!H8</f>
        <v>0</v>
      </c>
      <c r="G34" s="34" t="s">
        <v>63</v>
      </c>
      <c r="H34" s="34">
        <v>12</v>
      </c>
      <c r="I34" s="27">
        <f t="shared" si="3"/>
        <v>0</v>
      </c>
      <c r="J34" s="323" t="e">
        <f>I34/$I$41</f>
        <v>#REF!</v>
      </c>
    </row>
    <row r="35" spans="1:10" x14ac:dyDescent="0.25">
      <c r="A35" s="29">
        <v>4</v>
      </c>
      <c r="B35" s="600" t="s">
        <v>35</v>
      </c>
      <c r="C35" s="601"/>
      <c r="D35" s="601"/>
      <c r="E35" s="602"/>
      <c r="F35" s="30" t="s">
        <v>36</v>
      </c>
      <c r="G35" s="30"/>
      <c r="H35" s="31"/>
      <c r="I35" s="32" t="e">
        <f>SUM(I36:I39)</f>
        <v>#REF!</v>
      </c>
      <c r="J35" s="298" t="e">
        <f>SUM(J36:J39)</f>
        <v>#REF!</v>
      </c>
    </row>
    <row r="36" spans="1:10" x14ac:dyDescent="0.25">
      <c r="A36" s="33" t="s">
        <v>66</v>
      </c>
      <c r="B36" s="34">
        <v>5678</v>
      </c>
      <c r="C36" s="36" t="s">
        <v>67</v>
      </c>
      <c r="D36" s="287">
        <v>45323</v>
      </c>
      <c r="E36" s="37" t="s">
        <v>68</v>
      </c>
      <c r="F36" s="27" t="e">
        <f>'DESPESAS DIVERSAS II'!#REF!</f>
        <v>#REF!</v>
      </c>
      <c r="G36" s="34" t="s">
        <v>60</v>
      </c>
      <c r="H36" s="34" t="e">
        <f>'DESPESAS DIVERSAS II'!#REF!</f>
        <v>#REF!</v>
      </c>
      <c r="I36" s="27" t="e">
        <f>F36*H36</f>
        <v>#REF!</v>
      </c>
      <c r="J36" s="299" t="e">
        <f>I36/$I$41</f>
        <v>#REF!</v>
      </c>
    </row>
    <row r="37" spans="1:10" x14ac:dyDescent="0.25">
      <c r="A37" s="33" t="s">
        <v>69</v>
      </c>
      <c r="B37" s="303" t="s">
        <v>51</v>
      </c>
      <c r="C37" s="34" t="s">
        <v>45</v>
      </c>
      <c r="D37" s="271">
        <v>45383</v>
      </c>
      <c r="E37" s="35" t="s">
        <v>70</v>
      </c>
      <c r="F37" s="27" t="e">
        <f>'DESPESAS DIVERSAS II'!#REF!</f>
        <v>#REF!</v>
      </c>
      <c r="G37" s="34" t="s">
        <v>71</v>
      </c>
      <c r="H37" s="38">
        <v>3750</v>
      </c>
      <c r="I37" s="27" t="e">
        <f>F37*H37</f>
        <v>#REF!</v>
      </c>
      <c r="J37" s="299" t="e">
        <f t="shared" ref="J37:J39" si="4">I37/$I$41</f>
        <v>#REF!</v>
      </c>
    </row>
    <row r="38" spans="1:10" x14ac:dyDescent="0.25">
      <c r="A38" s="33" t="s">
        <v>72</v>
      </c>
      <c r="B38" s="303" t="s">
        <v>51</v>
      </c>
      <c r="C38" s="34" t="e">
        <f>'DESPESAS DIVERSAS II'!#REF!</f>
        <v>#REF!</v>
      </c>
      <c r="D38" s="271">
        <v>45383</v>
      </c>
      <c r="E38" s="35" t="s">
        <v>73</v>
      </c>
      <c r="F38" s="27" t="e">
        <f>'DESPESAS DIVERSAS II'!#REF!</f>
        <v>#REF!</v>
      </c>
      <c r="G38" s="34" t="s">
        <v>71</v>
      </c>
      <c r="H38" s="34" t="e">
        <f>'DESPESAS DIVERSAS II'!#REF!</f>
        <v>#REF!</v>
      </c>
      <c r="I38" s="27" t="e">
        <f t="shared" ref="I38:I39" si="5">F38*H38</f>
        <v>#REF!</v>
      </c>
      <c r="J38" s="299" t="e">
        <f t="shared" si="4"/>
        <v>#REF!</v>
      </c>
    </row>
    <row r="39" spans="1:10" x14ac:dyDescent="0.25">
      <c r="A39" s="33" t="s">
        <v>74</v>
      </c>
      <c r="B39" s="303" t="s">
        <v>51</v>
      </c>
      <c r="C39" s="34" t="e">
        <f>'DESPESAS DIVERSAS II'!#REF!</f>
        <v>#REF!</v>
      </c>
      <c r="D39" s="271">
        <v>45383</v>
      </c>
      <c r="E39" s="35" t="s">
        <v>75</v>
      </c>
      <c r="F39" s="27" t="e">
        <f>'DESPESAS DIVERSAS II'!#REF!</f>
        <v>#REF!</v>
      </c>
      <c r="G39" s="34" t="s">
        <v>71</v>
      </c>
      <c r="H39" s="34" t="e">
        <f>'DESPESAS DIVERSAS II'!#REF!</f>
        <v>#REF!</v>
      </c>
      <c r="I39" s="27" t="e">
        <f t="shared" si="5"/>
        <v>#REF!</v>
      </c>
      <c r="J39" s="299" t="e">
        <f t="shared" si="4"/>
        <v>#REF!</v>
      </c>
    </row>
    <row r="40" spans="1:10" x14ac:dyDescent="0.25">
      <c r="A40" s="39"/>
      <c r="B40" s="40"/>
      <c r="C40" s="40"/>
      <c r="D40" s="40"/>
      <c r="E40" s="40"/>
      <c r="F40" s="41"/>
      <c r="G40" s="42"/>
      <c r="H40" s="40"/>
      <c r="I40" s="40"/>
      <c r="J40" s="324"/>
    </row>
    <row r="41" spans="1:10" x14ac:dyDescent="0.25">
      <c r="A41" s="607" t="s">
        <v>76</v>
      </c>
      <c r="B41" s="608"/>
      <c r="C41" s="608"/>
      <c r="D41" s="608"/>
      <c r="E41" s="608"/>
      <c r="F41" s="608"/>
      <c r="G41" s="608"/>
      <c r="H41" s="608"/>
      <c r="I41" s="126" t="e">
        <f>I35+I31</f>
        <v>#REF!</v>
      </c>
      <c r="J41" s="297" t="e">
        <f>I41/I41</f>
        <v>#REF!</v>
      </c>
    </row>
    <row r="42" spans="1:10" x14ac:dyDescent="0.25">
      <c r="A42" s="609" t="s">
        <v>50</v>
      </c>
      <c r="B42" s="610"/>
      <c r="C42" s="610"/>
      <c r="D42" s="610"/>
      <c r="E42" s="610"/>
      <c r="F42" s="610"/>
      <c r="G42" s="610"/>
      <c r="H42" s="610"/>
      <c r="I42" s="123">
        <v>4</v>
      </c>
      <c r="J42" s="127" t="s">
        <v>51</v>
      </c>
    </row>
    <row r="43" spans="1:10" ht="15.75" thickBot="1" x14ac:dyDescent="0.3">
      <c r="A43" s="611" t="s">
        <v>77</v>
      </c>
      <c r="B43" s="612"/>
      <c r="C43" s="612"/>
      <c r="D43" s="612"/>
      <c r="E43" s="612"/>
      <c r="F43" s="612"/>
      <c r="G43" s="612"/>
      <c r="H43" s="612"/>
      <c r="I43" s="128" t="e">
        <f>I42*I41</f>
        <v>#REF!</v>
      </c>
      <c r="J43" s="125" t="s">
        <v>51</v>
      </c>
    </row>
    <row r="44" spans="1:10" ht="15.75" thickBot="1" x14ac:dyDescent="0.3">
      <c r="A44" s="122"/>
      <c r="B44" s="122"/>
      <c r="C44" s="122"/>
      <c r="D44" s="122"/>
      <c r="E44" s="122"/>
      <c r="F44" s="122"/>
      <c r="G44" s="122"/>
      <c r="H44" s="122"/>
      <c r="I44" s="122"/>
      <c r="J44" s="122"/>
    </row>
    <row r="45" spans="1:10" ht="15.75" thickBot="1" x14ac:dyDescent="0.3">
      <c r="A45" s="592" t="s">
        <v>78</v>
      </c>
      <c r="B45" s="593"/>
      <c r="C45" s="593"/>
      <c r="D45" s="593"/>
      <c r="E45" s="593"/>
      <c r="F45" s="593"/>
      <c r="G45" s="593"/>
      <c r="H45" s="593"/>
      <c r="I45" s="294" t="e">
        <f>I43+I27</f>
        <v>#REF!</v>
      </c>
      <c r="J45" s="129" t="s">
        <v>51</v>
      </c>
    </row>
  </sheetData>
  <mergeCells count="14">
    <mergeCell ref="A45:H45"/>
    <mergeCell ref="A29:J29"/>
    <mergeCell ref="A1:J1"/>
    <mergeCell ref="B31:E31"/>
    <mergeCell ref="B35:E35"/>
    <mergeCell ref="B18:E18"/>
    <mergeCell ref="B5:E5"/>
    <mergeCell ref="A41:H41"/>
    <mergeCell ref="A42:H42"/>
    <mergeCell ref="A43:H43"/>
    <mergeCell ref="A3:J3"/>
    <mergeCell ref="A25:H25"/>
    <mergeCell ref="A26:H26"/>
    <mergeCell ref="A27:H27"/>
  </mergeCells>
  <phoneticPr fontId="2" type="noConversion"/>
  <printOptions horizontalCentered="1"/>
  <pageMargins left="0.51181102362204722" right="0.51181102362204722" top="0.78740157480314965" bottom="0.78740157480314965" header="0.31496062992125984" footer="0.31496062992125984"/>
  <pageSetup paperSize="9" orientation="landscape" horizontalDpi="1200" verticalDpi="1200" r:id="rId1"/>
  <headerFooter>
    <oddFooter>Página 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6FBE0-8B53-4F46-8730-9E30158C997F}">
  <dimension ref="A1:L49"/>
  <sheetViews>
    <sheetView topLeftCell="C19" workbookViewId="0">
      <selection activeCell="H36" sqref="H36"/>
    </sheetView>
  </sheetViews>
  <sheetFormatPr defaultColWidth="9.140625" defaultRowHeight="15" x14ac:dyDescent="0.25"/>
  <cols>
    <col min="1" max="1" width="6.7109375" style="43" bestFit="1" customWidth="1"/>
    <col min="2" max="2" width="9" style="43" bestFit="1" customWidth="1"/>
    <col min="3" max="3" width="21.42578125" style="43" customWidth="1"/>
    <col min="4" max="4" width="8.7109375" style="43" bestFit="1" customWidth="1"/>
    <col min="5" max="5" width="35.7109375" style="43" customWidth="1"/>
    <col min="6" max="6" width="15.85546875" style="43" bestFit="1" customWidth="1"/>
    <col min="7" max="7" width="7.42578125" style="43" bestFit="1" customWidth="1"/>
    <col min="8" max="8" width="8" style="43" bestFit="1" customWidth="1"/>
    <col min="9" max="9" width="15.28515625" style="43" customWidth="1"/>
    <col min="10" max="10" width="13.42578125" style="43" customWidth="1"/>
    <col min="11" max="11" width="9.140625" style="43"/>
    <col min="12" max="12" width="18.42578125" style="43" bestFit="1" customWidth="1"/>
    <col min="13" max="16384" width="9.140625" style="43"/>
  </cols>
  <sheetData>
    <row r="1" spans="1:12" ht="15.75" x14ac:dyDescent="0.25">
      <c r="A1" s="597" t="s">
        <v>525</v>
      </c>
      <c r="B1" s="598"/>
      <c r="C1" s="598"/>
      <c r="D1" s="598"/>
      <c r="E1" s="598"/>
      <c r="F1" s="598"/>
      <c r="G1" s="598"/>
      <c r="H1" s="598"/>
      <c r="I1" s="598"/>
      <c r="J1" s="599"/>
    </row>
    <row r="3" spans="1:12" x14ac:dyDescent="0.25">
      <c r="A3" s="613" t="s">
        <v>5</v>
      </c>
      <c r="B3" s="614"/>
      <c r="C3" s="614"/>
      <c r="D3" s="614"/>
      <c r="E3" s="614"/>
      <c r="F3" s="614"/>
      <c r="G3" s="614"/>
      <c r="H3" s="614"/>
      <c r="I3" s="614"/>
      <c r="J3" s="615"/>
    </row>
    <row r="4" spans="1:12" ht="25.5" x14ac:dyDescent="0.25">
      <c r="A4" s="3" t="s">
        <v>6</v>
      </c>
      <c r="B4" s="4" t="s">
        <v>7</v>
      </c>
      <c r="C4" s="4" t="s">
        <v>8</v>
      </c>
      <c r="D4" s="5" t="s">
        <v>9</v>
      </c>
      <c r="E4" s="5" t="s">
        <v>10</v>
      </c>
      <c r="F4" s="6" t="s">
        <v>11</v>
      </c>
      <c r="G4" s="5" t="s">
        <v>12</v>
      </c>
      <c r="H4" s="5" t="s">
        <v>13</v>
      </c>
      <c r="I4" s="6" t="s">
        <v>14</v>
      </c>
      <c r="J4" s="7" t="s">
        <v>15</v>
      </c>
    </row>
    <row r="5" spans="1:12" x14ac:dyDescent="0.25">
      <c r="A5" s="8">
        <v>1</v>
      </c>
      <c r="B5" s="604" t="s">
        <v>16</v>
      </c>
      <c r="C5" s="605"/>
      <c r="D5" s="605"/>
      <c r="E5" s="606"/>
      <c r="F5" s="9" t="s">
        <v>17</v>
      </c>
      <c r="G5" s="10"/>
      <c r="H5" s="11"/>
      <c r="I5" s="12" t="e">
        <f>SUM(I6:I16)</f>
        <v>#DIV/0!</v>
      </c>
      <c r="J5" s="296" t="e">
        <f>SUM(J6:J16)</f>
        <v>#DIV/0!</v>
      </c>
    </row>
    <row r="6" spans="1:12" x14ac:dyDescent="0.25">
      <c r="A6" s="279" t="s">
        <v>18</v>
      </c>
      <c r="B6" s="427"/>
      <c r="C6" s="428"/>
      <c r="D6" s="429"/>
      <c r="E6" s="301" t="s">
        <v>19</v>
      </c>
      <c r="F6" s="16" t="e">
        <f>'EQUIPE PERMANENTE'!D64/4</f>
        <v>#DIV/0!</v>
      </c>
      <c r="G6" s="14" t="s">
        <v>20</v>
      </c>
      <c r="H6" s="17">
        <v>15</v>
      </c>
      <c r="I6" s="16" t="e">
        <f>H6*F6</f>
        <v>#DIV/0!</v>
      </c>
      <c r="J6" s="290" t="e">
        <f t="shared" ref="J6:J11" si="0">I6/$I$25</f>
        <v>#DIV/0!</v>
      </c>
      <c r="L6" s="318"/>
    </row>
    <row r="7" spans="1:12" x14ac:dyDescent="0.2">
      <c r="A7" s="279" t="s">
        <v>21</v>
      </c>
      <c r="B7" s="430"/>
      <c r="C7" s="431"/>
      <c r="D7" s="429"/>
      <c r="E7" s="302" t="s">
        <v>79</v>
      </c>
      <c r="F7" s="16" t="e">
        <f>('EQUIPE PERMANENTE'!F64/4)</f>
        <v>#DIV/0!</v>
      </c>
      <c r="G7" s="14" t="s">
        <v>20</v>
      </c>
      <c r="H7" s="20">
        <v>15</v>
      </c>
      <c r="I7" s="16" t="e">
        <f t="shared" ref="I7:I16" si="1">H7*F7</f>
        <v>#DIV/0!</v>
      </c>
      <c r="J7" s="290" t="e">
        <f t="shared" si="0"/>
        <v>#DIV/0!</v>
      </c>
      <c r="L7" s="318"/>
    </row>
    <row r="8" spans="1:12" x14ac:dyDescent="0.2">
      <c r="A8" s="279" t="s">
        <v>23</v>
      </c>
      <c r="B8" s="430"/>
      <c r="C8" s="431"/>
      <c r="D8" s="429"/>
      <c r="E8" s="302" t="s">
        <v>24</v>
      </c>
      <c r="F8" s="16" t="e">
        <f>('EQUIPE PERMANENTE'!H64/4)</f>
        <v>#DIV/0!</v>
      </c>
      <c r="G8" s="14" t="s">
        <v>20</v>
      </c>
      <c r="H8" s="20">
        <v>15</v>
      </c>
      <c r="I8" s="16" t="e">
        <f t="shared" si="1"/>
        <v>#DIV/0!</v>
      </c>
      <c r="J8" s="290" t="e">
        <f t="shared" si="0"/>
        <v>#DIV/0!</v>
      </c>
      <c r="L8" s="318"/>
    </row>
    <row r="9" spans="1:12" x14ac:dyDescent="0.2">
      <c r="A9" s="279" t="s">
        <v>25</v>
      </c>
      <c r="B9" s="430"/>
      <c r="C9" s="431"/>
      <c r="D9" s="429"/>
      <c r="E9" s="302" t="s">
        <v>26</v>
      </c>
      <c r="F9" s="16" t="e">
        <f>('EQUIPE PERMANENTE'!J64/4)</f>
        <v>#DIV/0!</v>
      </c>
      <c r="G9" s="14" t="s">
        <v>20</v>
      </c>
      <c r="H9" s="20">
        <v>15</v>
      </c>
      <c r="I9" s="16" t="e">
        <f t="shared" si="1"/>
        <v>#DIV/0!</v>
      </c>
      <c r="J9" s="290" t="e">
        <f t="shared" si="0"/>
        <v>#DIV/0!</v>
      </c>
      <c r="L9" s="318"/>
    </row>
    <row r="10" spans="1:12" x14ac:dyDescent="0.2">
      <c r="A10" s="279" t="s">
        <v>27</v>
      </c>
      <c r="B10" s="430"/>
      <c r="C10" s="428"/>
      <c r="D10" s="429"/>
      <c r="E10" s="19" t="s">
        <v>28</v>
      </c>
      <c r="F10" s="319" t="e">
        <f>('EQUIPE PERMANENTE'!L64)</f>
        <v>#DIV/0!</v>
      </c>
      <c r="G10" s="14" t="s">
        <v>20</v>
      </c>
      <c r="H10" s="20">
        <v>12</v>
      </c>
      <c r="I10" s="16" t="e">
        <f t="shared" si="1"/>
        <v>#DIV/0!</v>
      </c>
      <c r="J10" s="290" t="e">
        <f t="shared" si="0"/>
        <v>#DIV/0!</v>
      </c>
      <c r="L10" s="318"/>
    </row>
    <row r="11" spans="1:12" x14ac:dyDescent="0.2">
      <c r="A11" s="279" t="s">
        <v>29</v>
      </c>
      <c r="B11" s="430"/>
      <c r="C11" s="428"/>
      <c r="D11" s="429"/>
      <c r="E11" s="417" t="s">
        <v>30</v>
      </c>
      <c r="F11" s="16" t="e">
        <f>('EQUIPE PERMANENTE'!N64)</f>
        <v>#DIV/0!</v>
      </c>
      <c r="G11" s="14" t="s">
        <v>20</v>
      </c>
      <c r="H11" s="20">
        <v>12</v>
      </c>
      <c r="I11" s="16" t="e">
        <f t="shared" si="1"/>
        <v>#DIV/0!</v>
      </c>
      <c r="J11" s="290" t="e">
        <f t="shared" si="0"/>
        <v>#DIV/0!</v>
      </c>
      <c r="L11" s="318"/>
    </row>
    <row r="12" spans="1:12" x14ac:dyDescent="0.2">
      <c r="A12" s="279" t="s">
        <v>80</v>
      </c>
      <c r="B12" s="430"/>
      <c r="C12" s="428"/>
      <c r="D12" s="429"/>
      <c r="E12" s="19" t="s">
        <v>32</v>
      </c>
      <c r="F12" s="16" t="e">
        <f>'EQUIPE PERMANENTE'!P64</f>
        <v>#DIV/0!</v>
      </c>
      <c r="G12" s="14" t="s">
        <v>20</v>
      </c>
      <c r="H12" s="20">
        <v>12</v>
      </c>
      <c r="I12" s="16" t="e">
        <f>H12*F12</f>
        <v>#DIV/0!</v>
      </c>
      <c r="J12" s="290" t="e">
        <f t="shared" ref="J12" si="2">I12/$I$25</f>
        <v>#DIV/0!</v>
      </c>
    </row>
    <row r="13" spans="1:12" x14ac:dyDescent="0.2">
      <c r="A13" s="279" t="s">
        <v>31</v>
      </c>
      <c r="B13" s="430"/>
      <c r="C13" s="428"/>
      <c r="D13" s="429"/>
      <c r="E13" s="19" t="s">
        <v>34</v>
      </c>
      <c r="F13" s="16" t="e">
        <f>'EQUIPE PERMANENTE'!R64</f>
        <v>#DIV/0!</v>
      </c>
      <c r="G13" s="14" t="s">
        <v>20</v>
      </c>
      <c r="H13" s="20">
        <v>12</v>
      </c>
      <c r="I13" s="16" t="e">
        <f t="shared" ref="I13" si="3">H13*F13</f>
        <v>#DIV/0!</v>
      </c>
      <c r="J13" s="290" t="e">
        <f>I13/$I$25</f>
        <v>#DIV/0!</v>
      </c>
    </row>
    <row r="14" spans="1:12" x14ac:dyDescent="0.2">
      <c r="A14" s="279" t="s">
        <v>31</v>
      </c>
      <c r="B14" s="430"/>
      <c r="C14" s="428"/>
      <c r="D14" s="429"/>
      <c r="E14" s="19" t="s">
        <v>34</v>
      </c>
      <c r="F14" s="16" t="e">
        <f>'EQUIPE PERMANENTE'!R64</f>
        <v>#DIV/0!</v>
      </c>
      <c r="G14" s="14" t="s">
        <v>20</v>
      </c>
      <c r="H14" s="20">
        <v>12</v>
      </c>
      <c r="I14" s="16" t="e">
        <f t="shared" si="1"/>
        <v>#DIV/0!</v>
      </c>
      <c r="J14" s="290" t="e">
        <f>I14/$I$25</f>
        <v>#DIV/0!</v>
      </c>
    </row>
    <row r="15" spans="1:12" x14ac:dyDescent="0.2">
      <c r="A15" s="279" t="s">
        <v>31</v>
      </c>
      <c r="B15" s="430"/>
      <c r="C15" s="428"/>
      <c r="D15" s="429"/>
      <c r="E15" s="19" t="s">
        <v>34</v>
      </c>
      <c r="F15" s="16" t="e">
        <f>'EQUIPE PERMANENTE'!R64</f>
        <v>#DIV/0!</v>
      </c>
      <c r="G15" s="14" t="s">
        <v>20</v>
      </c>
      <c r="H15" s="20">
        <v>12</v>
      </c>
      <c r="I15" s="16" t="e">
        <f t="shared" si="1"/>
        <v>#DIV/0!</v>
      </c>
      <c r="J15" s="290" t="e">
        <f>I15/$I$25</f>
        <v>#DIV/0!</v>
      </c>
    </row>
    <row r="16" spans="1:12" x14ac:dyDescent="0.2">
      <c r="A16" s="279" t="s">
        <v>31</v>
      </c>
      <c r="B16" s="430"/>
      <c r="C16" s="428"/>
      <c r="D16" s="429"/>
      <c r="E16" s="19" t="s">
        <v>34</v>
      </c>
      <c r="F16" s="16" t="e">
        <f>'EQUIPE PERMANENTE'!R64</f>
        <v>#DIV/0!</v>
      </c>
      <c r="G16" s="14" t="s">
        <v>20</v>
      </c>
      <c r="H16" s="20">
        <v>12</v>
      </c>
      <c r="I16" s="16" t="e">
        <f t="shared" si="1"/>
        <v>#DIV/0!</v>
      </c>
      <c r="J16" s="290" t="e">
        <f>I16/$I$25</f>
        <v>#DIV/0!</v>
      </c>
    </row>
    <row r="17" spans="1:12" x14ac:dyDescent="0.25">
      <c r="A17" s="21">
        <v>2</v>
      </c>
      <c r="B17" s="603" t="s">
        <v>35</v>
      </c>
      <c r="C17" s="601"/>
      <c r="D17" s="601"/>
      <c r="E17" s="602"/>
      <c r="F17" s="23" t="s">
        <v>36</v>
      </c>
      <c r="G17" s="24"/>
      <c r="H17" s="22"/>
      <c r="I17" s="25">
        <f>SUM(I18:I23)</f>
        <v>0</v>
      </c>
      <c r="J17" s="296" t="e">
        <f>SUM(J18:J23)</f>
        <v>#DIV/0!</v>
      </c>
    </row>
    <row r="18" spans="1:12" x14ac:dyDescent="0.25">
      <c r="A18" s="407" t="s">
        <v>37</v>
      </c>
      <c r="B18" s="432"/>
      <c r="C18" s="433"/>
      <c r="D18" s="429"/>
      <c r="E18" s="15" t="s">
        <v>38</v>
      </c>
      <c r="F18" s="16">
        <f>'DESPESAS DIVERSAS I'!B7/4</f>
        <v>0</v>
      </c>
      <c r="G18" s="14" t="s">
        <v>20</v>
      </c>
      <c r="H18" s="14">
        <v>15</v>
      </c>
      <c r="I18" s="16">
        <f>H18*F18</f>
        <v>0</v>
      </c>
      <c r="J18" s="295" t="e">
        <f>I18/$I$25</f>
        <v>#DIV/0!</v>
      </c>
    </row>
    <row r="19" spans="1:12" x14ac:dyDescent="0.25">
      <c r="A19" s="407" t="s">
        <v>39</v>
      </c>
      <c r="B19" s="432"/>
      <c r="C19" s="433"/>
      <c r="D19" s="429"/>
      <c r="E19" s="408" t="s">
        <v>40</v>
      </c>
      <c r="F19" s="16">
        <f>'DESPESAS DIVERSAS I'!C7</f>
        <v>0</v>
      </c>
      <c r="G19" s="14" t="s">
        <v>20</v>
      </c>
      <c r="H19" s="14">
        <v>12</v>
      </c>
      <c r="I19" s="16">
        <f t="shared" ref="I19:I22" si="4">H19*F19</f>
        <v>0</v>
      </c>
      <c r="J19" s="295" t="e">
        <f>I19/$I$25</f>
        <v>#DIV/0!</v>
      </c>
      <c r="L19" s="318"/>
    </row>
    <row r="20" spans="1:12" x14ac:dyDescent="0.25">
      <c r="A20" s="407" t="s">
        <v>41</v>
      </c>
      <c r="B20" s="434"/>
      <c r="C20" s="435"/>
      <c r="D20" s="436"/>
      <c r="E20" s="302" t="s">
        <v>81</v>
      </c>
      <c r="F20" s="16">
        <f>'DESPESAS DIVERSAS I'!D7</f>
        <v>0</v>
      </c>
      <c r="G20" s="14" t="s">
        <v>82</v>
      </c>
      <c r="H20" s="18">
        <v>1</v>
      </c>
      <c r="I20" s="16">
        <f t="shared" si="4"/>
        <v>0</v>
      </c>
      <c r="J20" s="295" t="e">
        <f>I20/$I$25</f>
        <v>#DIV/0!</v>
      </c>
    </row>
    <row r="21" spans="1:12" x14ac:dyDescent="0.25">
      <c r="A21" s="407" t="s">
        <v>43</v>
      </c>
      <c r="B21" s="437"/>
      <c r="C21" s="438"/>
      <c r="D21" s="439"/>
      <c r="E21" s="26" t="s">
        <v>46</v>
      </c>
      <c r="F21" s="16">
        <f>'DESPESAS DIVERSAS II'!C10/4</f>
        <v>0</v>
      </c>
      <c r="G21" s="14" t="s">
        <v>20</v>
      </c>
      <c r="H21" s="18">
        <v>15</v>
      </c>
      <c r="I21" s="16">
        <f t="shared" si="4"/>
        <v>0</v>
      </c>
      <c r="J21" s="295" t="e">
        <f>I21/$I$25</f>
        <v>#DIV/0!</v>
      </c>
    </row>
    <row r="22" spans="1:12" x14ac:dyDescent="0.25">
      <c r="A22" s="407" t="s">
        <v>47</v>
      </c>
      <c r="B22" s="437"/>
      <c r="C22" s="438"/>
      <c r="D22" s="439"/>
      <c r="E22" s="26" t="s">
        <v>48</v>
      </c>
      <c r="F22" s="16">
        <f>'DESPESAS DIVERSAS II'!F10</f>
        <v>0</v>
      </c>
      <c r="G22" s="14" t="s">
        <v>20</v>
      </c>
      <c r="H22" s="18">
        <v>12</v>
      </c>
      <c r="I22" s="16">
        <f t="shared" si="4"/>
        <v>0</v>
      </c>
      <c r="J22" s="295" t="e">
        <f>I22/$I$25</f>
        <v>#DIV/0!</v>
      </c>
    </row>
    <row r="23" spans="1:12" x14ac:dyDescent="0.25">
      <c r="A23" s="407" t="s">
        <v>83</v>
      </c>
      <c r="B23" s="440"/>
      <c r="C23" s="440"/>
      <c r="D23" s="439"/>
      <c r="E23" s="26" t="s">
        <v>84</v>
      </c>
      <c r="F23" s="16">
        <f>'DESPESAS DIVERSAS II'!I10</f>
        <v>0</v>
      </c>
      <c r="G23" s="14" t="s">
        <v>20</v>
      </c>
      <c r="H23" s="407">
        <v>12</v>
      </c>
      <c r="I23" s="16">
        <f t="shared" ref="I23" si="5">H23*F23</f>
        <v>0</v>
      </c>
      <c r="J23" s="295" t="e">
        <f t="shared" ref="J23" si="6">I23/$I$25</f>
        <v>#DIV/0!</v>
      </c>
    </row>
    <row r="24" spans="1:12" x14ac:dyDescent="0.25">
      <c r="A24" s="121"/>
      <c r="B24" s="122"/>
      <c r="C24" s="122"/>
      <c r="D24" s="122"/>
      <c r="E24" s="122"/>
      <c r="F24" s="122"/>
      <c r="G24" s="122"/>
      <c r="H24" s="122"/>
      <c r="I24" s="122"/>
      <c r="J24" s="295"/>
    </row>
    <row r="25" spans="1:12" x14ac:dyDescent="0.25">
      <c r="A25" s="607" t="s">
        <v>49</v>
      </c>
      <c r="B25" s="608"/>
      <c r="C25" s="608"/>
      <c r="D25" s="608"/>
      <c r="E25" s="608"/>
      <c r="F25" s="608"/>
      <c r="G25" s="608"/>
      <c r="H25" s="608"/>
      <c r="I25" s="126" t="e">
        <f>I17+I5</f>
        <v>#DIV/0!</v>
      </c>
      <c r="J25" s="297" t="e">
        <f>I25/I25</f>
        <v>#DIV/0!</v>
      </c>
    </row>
    <row r="26" spans="1:12" x14ac:dyDescent="0.25">
      <c r="A26" s="609" t="s">
        <v>50</v>
      </c>
      <c r="B26" s="610"/>
      <c r="C26" s="610"/>
      <c r="D26" s="610"/>
      <c r="E26" s="610"/>
      <c r="F26" s="610"/>
      <c r="G26" s="610"/>
      <c r="H26" s="610"/>
      <c r="I26" s="123">
        <v>4</v>
      </c>
      <c r="J26" s="124" t="s">
        <v>51</v>
      </c>
    </row>
    <row r="27" spans="1:12" x14ac:dyDescent="0.25">
      <c r="A27" s="611" t="s">
        <v>52</v>
      </c>
      <c r="B27" s="612"/>
      <c r="C27" s="612"/>
      <c r="D27" s="612"/>
      <c r="E27" s="612"/>
      <c r="F27" s="612"/>
      <c r="G27" s="612"/>
      <c r="H27" s="612"/>
      <c r="I27" s="293" t="e">
        <f>I25*I26</f>
        <v>#DIV/0!</v>
      </c>
      <c r="J27" s="125" t="s">
        <v>51</v>
      </c>
    </row>
    <row r="28" spans="1:12" ht="15" customHeight="1" x14ac:dyDescent="0.25">
      <c r="A28" s="122"/>
      <c r="B28" s="122"/>
      <c r="C28" s="122"/>
      <c r="D28" s="122"/>
      <c r="E28" s="122"/>
      <c r="F28" s="122"/>
      <c r="G28" s="122"/>
      <c r="H28" s="122"/>
      <c r="I28" s="122"/>
      <c r="J28" s="122"/>
    </row>
    <row r="29" spans="1:12" x14ac:dyDescent="0.25">
      <c r="A29" s="594" t="s">
        <v>53</v>
      </c>
      <c r="B29" s="595"/>
      <c r="C29" s="595"/>
      <c r="D29" s="595"/>
      <c r="E29" s="595"/>
      <c r="F29" s="595"/>
      <c r="G29" s="595"/>
      <c r="H29" s="595"/>
      <c r="I29" s="595"/>
      <c r="J29" s="596"/>
    </row>
    <row r="30" spans="1:12" ht="25.5" x14ac:dyDescent="0.25">
      <c r="A30" s="3" t="s">
        <v>6</v>
      </c>
      <c r="B30" s="28" t="s">
        <v>7</v>
      </c>
      <c r="C30" s="28" t="s">
        <v>8</v>
      </c>
      <c r="D30" s="6" t="s">
        <v>9</v>
      </c>
      <c r="E30" s="6" t="s">
        <v>10</v>
      </c>
      <c r="F30" s="6" t="s">
        <v>55</v>
      </c>
      <c r="G30" s="5" t="s">
        <v>12</v>
      </c>
      <c r="H30" s="5" t="s">
        <v>13</v>
      </c>
      <c r="I30" s="6" t="s">
        <v>14</v>
      </c>
      <c r="J30" s="7" t="s">
        <v>15</v>
      </c>
    </row>
    <row r="31" spans="1:12" x14ac:dyDescent="0.25">
      <c r="A31" s="29">
        <v>3</v>
      </c>
      <c r="B31" s="600" t="s">
        <v>56</v>
      </c>
      <c r="C31" s="601"/>
      <c r="D31" s="601"/>
      <c r="E31" s="602"/>
      <c r="F31" s="24" t="s">
        <v>57</v>
      </c>
      <c r="G31" s="24"/>
      <c r="H31" s="366"/>
      <c r="I31" s="25">
        <f>SUM(I32:I34)</f>
        <v>0</v>
      </c>
      <c r="J31" s="298" t="e">
        <f>SUM(J32:J34)</f>
        <v>#DIV/0!</v>
      </c>
    </row>
    <row r="32" spans="1:12" x14ac:dyDescent="0.25">
      <c r="A32" s="33" t="s">
        <v>58</v>
      </c>
      <c r="B32" s="442"/>
      <c r="C32" s="442"/>
      <c r="D32" s="443"/>
      <c r="E32" s="35" t="s">
        <v>85</v>
      </c>
      <c r="F32" s="27">
        <f>'SERVIÇOS TÉCNICOS'!H6</f>
        <v>0</v>
      </c>
      <c r="G32" s="365" t="s">
        <v>60</v>
      </c>
      <c r="H32" s="365">
        <v>964</v>
      </c>
      <c r="I32" s="27">
        <f>H32*F32</f>
        <v>0</v>
      </c>
      <c r="J32" s="299" t="e">
        <f>I32/$I$42</f>
        <v>#DIV/0!</v>
      </c>
    </row>
    <row r="33" spans="1:12" ht="95.1" customHeight="1" x14ac:dyDescent="0.25">
      <c r="A33" s="33" t="s">
        <v>61</v>
      </c>
      <c r="B33" s="442"/>
      <c r="C33" s="444"/>
      <c r="D33" s="445"/>
      <c r="E33" s="37" t="str">
        <f>'SERVIÇOS TÉCNICOS'!E7</f>
        <v xml:space="preserve">Alocação de equipe básica de topografia, limitada a 7 (sete) dias </v>
      </c>
      <c r="F33" s="27">
        <f>'SERVIÇOS TÉCNICOS'!H7</f>
        <v>0</v>
      </c>
      <c r="G33" s="34" t="s">
        <v>63</v>
      </c>
      <c r="H33" s="34">
        <v>7</v>
      </c>
      <c r="I33" s="27">
        <f t="shared" ref="I33:I34" si="7">H33*F33</f>
        <v>0</v>
      </c>
      <c r="J33" s="299" t="e">
        <f>I33/$I$42</f>
        <v>#DIV/0!</v>
      </c>
    </row>
    <row r="34" spans="1:12" x14ac:dyDescent="0.25">
      <c r="A34" s="33" t="s">
        <v>64</v>
      </c>
      <c r="B34" s="442"/>
      <c r="C34" s="442"/>
      <c r="D34" s="445"/>
      <c r="E34" s="411" t="s">
        <v>65</v>
      </c>
      <c r="F34" s="27">
        <f>'SERVIÇOS TÉCNICOS'!H8</f>
        <v>0</v>
      </c>
      <c r="G34" s="367" t="s">
        <v>63</v>
      </c>
      <c r="H34" s="367">
        <v>11</v>
      </c>
      <c r="I34" s="27">
        <f t="shared" si="7"/>
        <v>0</v>
      </c>
      <c r="J34" s="299" t="e">
        <f>I34/$I$42</f>
        <v>#DIV/0!</v>
      </c>
    </row>
    <row r="35" spans="1:12" x14ac:dyDescent="0.25">
      <c r="A35" s="29">
        <v>4</v>
      </c>
      <c r="B35" s="616" t="s">
        <v>35</v>
      </c>
      <c r="C35" s="617"/>
      <c r="D35" s="617"/>
      <c r="E35" s="618"/>
      <c r="F35" s="24" t="s">
        <v>36</v>
      </c>
      <c r="G35" s="24"/>
      <c r="H35" s="366"/>
      <c r="I35" s="25">
        <f>SUM(I36:I40)</f>
        <v>0</v>
      </c>
      <c r="J35" s="298" t="e">
        <f>SUM(J36:J40)</f>
        <v>#DIV/0!</v>
      </c>
    </row>
    <row r="36" spans="1:12" x14ac:dyDescent="0.25">
      <c r="A36" s="33" t="s">
        <v>86</v>
      </c>
      <c r="B36" s="446"/>
      <c r="C36" s="447"/>
      <c r="D36" s="448"/>
      <c r="E36" s="409" t="s">
        <v>87</v>
      </c>
      <c r="F36" s="27">
        <f>'DESPESAS DIVERSAS II'!C19</f>
        <v>0</v>
      </c>
      <c r="G36" s="365" t="s">
        <v>60</v>
      </c>
      <c r="H36" s="591">
        <v>504.59861000000001</v>
      </c>
      <c r="I36" s="27">
        <f>F36*H36</f>
        <v>0</v>
      </c>
      <c r="J36" s="299" t="e">
        <f>I36/$I$42</f>
        <v>#DIV/0!</v>
      </c>
    </row>
    <row r="37" spans="1:12" x14ac:dyDescent="0.25">
      <c r="A37" s="33" t="s">
        <v>66</v>
      </c>
      <c r="B37" s="446"/>
      <c r="C37" s="447"/>
      <c r="D37" s="448"/>
      <c r="E37" s="409" t="s">
        <v>529</v>
      </c>
      <c r="F37" s="27">
        <f>'DESPESAS DIVERSAS II'!F19</f>
        <v>0</v>
      </c>
      <c r="G37" s="365" t="s">
        <v>60</v>
      </c>
      <c r="H37" s="365">
        <v>72</v>
      </c>
      <c r="I37" s="27">
        <f>F37*H37</f>
        <v>0</v>
      </c>
      <c r="J37" s="299" t="e">
        <f>I37/$I$42</f>
        <v>#DIV/0!</v>
      </c>
    </row>
    <row r="38" spans="1:12" x14ac:dyDescent="0.25">
      <c r="A38" s="33" t="s">
        <v>69</v>
      </c>
      <c r="B38" s="449"/>
      <c r="C38" s="442"/>
      <c r="D38" s="443"/>
      <c r="E38" s="35" t="s">
        <v>70</v>
      </c>
      <c r="F38" s="27">
        <f>'DESPESAS DIVERSAS II'!C27</f>
        <v>0</v>
      </c>
      <c r="G38" s="34" t="s">
        <v>71</v>
      </c>
      <c r="H38" s="38">
        <v>3750</v>
      </c>
      <c r="I38" s="27">
        <f t="shared" ref="I38:I40" si="8">F38*H38</f>
        <v>0</v>
      </c>
      <c r="J38" s="299" t="e">
        <f t="shared" ref="J38:J40" si="9">I38/$I$42</f>
        <v>#DIV/0!</v>
      </c>
    </row>
    <row r="39" spans="1:12" x14ac:dyDescent="0.25">
      <c r="A39" s="33" t="s">
        <v>72</v>
      </c>
      <c r="B39" s="449"/>
      <c r="C39" s="442"/>
      <c r="D39" s="443"/>
      <c r="E39" s="35" t="s">
        <v>73</v>
      </c>
      <c r="F39" s="27">
        <f>'DESPESAS DIVERSAS II'!C36</f>
        <v>0</v>
      </c>
      <c r="G39" s="34" t="s">
        <v>71</v>
      </c>
      <c r="H39" s="34">
        <v>329</v>
      </c>
      <c r="I39" s="27">
        <f t="shared" si="8"/>
        <v>0</v>
      </c>
      <c r="J39" s="299" t="e">
        <f t="shared" si="9"/>
        <v>#DIV/0!</v>
      </c>
    </row>
    <row r="40" spans="1:12" x14ac:dyDescent="0.25">
      <c r="A40" s="33" t="s">
        <v>74</v>
      </c>
      <c r="B40" s="449"/>
      <c r="C40" s="442"/>
      <c r="D40" s="443"/>
      <c r="E40" s="35" t="s">
        <v>75</v>
      </c>
      <c r="F40" s="27">
        <f>'DESPESAS DIVERSAS II'!F36</f>
        <v>0</v>
      </c>
      <c r="G40" s="34" t="s">
        <v>71</v>
      </c>
      <c r="H40" s="34">
        <v>329</v>
      </c>
      <c r="I40" s="27">
        <f t="shared" si="8"/>
        <v>0</v>
      </c>
      <c r="J40" s="299" t="e">
        <f t="shared" si="9"/>
        <v>#DIV/0!</v>
      </c>
    </row>
    <row r="41" spans="1:12" x14ac:dyDescent="0.25">
      <c r="A41" s="39"/>
      <c r="B41" s="40"/>
      <c r="C41" s="40"/>
      <c r="D41" s="40"/>
      <c r="E41" s="40"/>
      <c r="F41" s="41"/>
      <c r="G41" s="42"/>
      <c r="H41" s="40"/>
      <c r="I41" s="40"/>
      <c r="J41" s="300"/>
    </row>
    <row r="42" spans="1:12" x14ac:dyDescent="0.25">
      <c r="A42" s="607" t="s">
        <v>76</v>
      </c>
      <c r="B42" s="608"/>
      <c r="C42" s="608"/>
      <c r="D42" s="608"/>
      <c r="E42" s="608"/>
      <c r="F42" s="608"/>
      <c r="G42" s="608"/>
      <c r="H42" s="608"/>
      <c r="I42" s="126">
        <f>I35+I31</f>
        <v>0</v>
      </c>
      <c r="J42" s="297" t="e">
        <f>I42/I42</f>
        <v>#DIV/0!</v>
      </c>
    </row>
    <row r="43" spans="1:12" x14ac:dyDescent="0.25">
      <c r="A43" s="609" t="s">
        <v>50</v>
      </c>
      <c r="B43" s="610"/>
      <c r="C43" s="610"/>
      <c r="D43" s="610"/>
      <c r="E43" s="610"/>
      <c r="F43" s="610"/>
      <c r="G43" s="610"/>
      <c r="H43" s="610"/>
      <c r="I43" s="123">
        <v>4</v>
      </c>
      <c r="J43" s="124" t="s">
        <v>51</v>
      </c>
      <c r="L43" s="378"/>
    </row>
    <row r="44" spans="1:12" x14ac:dyDescent="0.25">
      <c r="A44" s="611" t="s">
        <v>77</v>
      </c>
      <c r="B44" s="612"/>
      <c r="C44" s="612"/>
      <c r="D44" s="612"/>
      <c r="E44" s="612"/>
      <c r="F44" s="612"/>
      <c r="G44" s="612"/>
      <c r="H44" s="612"/>
      <c r="I44" s="128">
        <f>I43*I42</f>
        <v>0</v>
      </c>
      <c r="J44" s="125" t="s">
        <v>51</v>
      </c>
    </row>
    <row r="45" spans="1:12" x14ac:dyDescent="0.25">
      <c r="A45" s="122"/>
      <c r="B45" s="122"/>
      <c r="C45" s="122"/>
      <c r="D45" s="122"/>
      <c r="E45" s="122"/>
      <c r="F45" s="122"/>
      <c r="G45" s="122"/>
      <c r="H45" s="122"/>
      <c r="I45" s="122"/>
      <c r="J45" s="122"/>
    </row>
    <row r="46" spans="1:12" x14ac:dyDescent="0.25">
      <c r="A46" s="592" t="s">
        <v>78</v>
      </c>
      <c r="B46" s="593"/>
      <c r="C46" s="593"/>
      <c r="D46" s="593"/>
      <c r="E46" s="593"/>
      <c r="F46" s="593"/>
      <c r="G46" s="593"/>
      <c r="H46" s="593"/>
      <c r="I46" s="294" t="e">
        <f>I44+I27</f>
        <v>#DIV/0!</v>
      </c>
      <c r="J46" s="129" t="s">
        <v>51</v>
      </c>
    </row>
    <row r="48" spans="1:12" x14ac:dyDescent="0.25">
      <c r="I48" s="378"/>
    </row>
    <row r="49" spans="12:12" x14ac:dyDescent="0.25">
      <c r="L49" s="378"/>
    </row>
  </sheetData>
  <mergeCells count="14">
    <mergeCell ref="A26:H26"/>
    <mergeCell ref="A1:J1"/>
    <mergeCell ref="A3:J3"/>
    <mergeCell ref="B5:E5"/>
    <mergeCell ref="B17:E17"/>
    <mergeCell ref="A25:H25"/>
    <mergeCell ref="A44:H44"/>
    <mergeCell ref="A46:H46"/>
    <mergeCell ref="A27:H27"/>
    <mergeCell ref="A29:J29"/>
    <mergeCell ref="B31:E31"/>
    <mergeCell ref="B35:E35"/>
    <mergeCell ref="A42:H42"/>
    <mergeCell ref="A43:H43"/>
  </mergeCells>
  <phoneticPr fontId="2" type="noConversion"/>
  <printOptions horizontalCentered="1"/>
  <pageMargins left="0.51181102362204722" right="0.51181102362204722" top="0.78740157480314965" bottom="0.78740157480314965" header="0.31496062992125984" footer="0.31496062992125984"/>
  <pageSetup paperSize="9" orientation="landscape" horizontalDpi="1200" verticalDpi="1200" r:id="rId1"/>
  <headerFooter>
    <oddFooter>Página &amp;P de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FDE05-8EEE-4BB2-B65E-B6C17C8D8197}">
  <dimension ref="A1:L49"/>
  <sheetViews>
    <sheetView tabSelected="1" zoomScale="85" zoomScaleNormal="85" workbookViewId="0">
      <selection activeCell="C35" sqref="C35:I35"/>
    </sheetView>
  </sheetViews>
  <sheetFormatPr defaultColWidth="9.140625" defaultRowHeight="15" x14ac:dyDescent="0.2"/>
  <cols>
    <col min="1" max="1" width="10.85546875" style="45" customWidth="1"/>
    <col min="2" max="2" width="22.7109375" style="45" bestFit="1" customWidth="1"/>
    <col min="3" max="10" width="12.28515625" style="45" bestFit="1" customWidth="1"/>
    <col min="11" max="11" width="9.140625" style="45"/>
    <col min="12" max="12" width="15.85546875" style="45" customWidth="1"/>
    <col min="13" max="16384" width="9.140625" style="45"/>
  </cols>
  <sheetData>
    <row r="1" spans="1:12" ht="15.75" x14ac:dyDescent="0.25">
      <c r="A1" s="635" t="s">
        <v>526</v>
      </c>
      <c r="B1" s="636"/>
      <c r="C1" s="636"/>
      <c r="D1" s="636"/>
      <c r="E1" s="636"/>
      <c r="F1" s="636"/>
      <c r="G1" s="636"/>
      <c r="H1" s="636"/>
      <c r="I1" s="636"/>
      <c r="J1" s="637"/>
      <c r="K1" s="416"/>
    </row>
    <row r="2" spans="1:12" x14ac:dyDescent="0.2">
      <c r="A2" s="46"/>
      <c r="B2" s="46"/>
      <c r="C2" s="46"/>
      <c r="D2" s="46"/>
      <c r="E2" s="46"/>
      <c r="F2" s="46"/>
      <c r="G2" s="46"/>
      <c r="H2" s="46"/>
      <c r="I2" s="46"/>
      <c r="J2" s="46"/>
      <c r="K2" s="416"/>
    </row>
    <row r="3" spans="1:12" x14ac:dyDescent="0.2">
      <c r="A3" s="638" t="s">
        <v>88</v>
      </c>
      <c r="B3" s="638" t="s">
        <v>89</v>
      </c>
      <c r="C3" s="639" t="s">
        <v>90</v>
      </c>
      <c r="D3" s="639"/>
      <c r="E3" s="381"/>
      <c r="F3" s="639" t="s">
        <v>91</v>
      </c>
      <c r="G3" s="639"/>
      <c r="H3" s="639"/>
      <c r="I3" s="639"/>
      <c r="J3" s="639"/>
      <c r="K3" s="416"/>
    </row>
    <row r="4" spans="1:12" x14ac:dyDescent="0.2">
      <c r="A4" s="638"/>
      <c r="B4" s="638"/>
      <c r="C4" s="380" t="s">
        <v>92</v>
      </c>
      <c r="D4" s="380" t="s">
        <v>93</v>
      </c>
      <c r="E4" s="380" t="s">
        <v>94</v>
      </c>
      <c r="F4" s="380" t="s">
        <v>95</v>
      </c>
      <c r="G4" s="380" t="s">
        <v>96</v>
      </c>
      <c r="H4" s="380" t="s">
        <v>97</v>
      </c>
      <c r="I4" s="380" t="s">
        <v>98</v>
      </c>
      <c r="J4" s="380" t="s">
        <v>99</v>
      </c>
      <c r="K4" s="416"/>
    </row>
    <row r="5" spans="1:12" x14ac:dyDescent="0.2">
      <c r="A5" s="620" t="s">
        <v>100</v>
      </c>
      <c r="B5" s="383" t="s">
        <v>101</v>
      </c>
      <c r="C5" s="384"/>
      <c r="D5" s="385"/>
      <c r="E5" s="386"/>
      <c r="F5" s="385"/>
      <c r="G5" s="385"/>
      <c r="H5" s="385"/>
      <c r="I5" s="385"/>
      <c r="J5" s="385"/>
      <c r="K5" s="416"/>
    </row>
    <row r="6" spans="1:12" x14ac:dyDescent="0.2">
      <c r="A6" s="620"/>
      <c r="B6" s="383" t="s">
        <v>102</v>
      </c>
      <c r="C6" s="387"/>
      <c r="D6" s="385"/>
      <c r="E6" s="386"/>
      <c r="F6" s="385"/>
      <c r="G6" s="385"/>
      <c r="H6" s="385"/>
      <c r="I6" s="385"/>
      <c r="J6" s="385"/>
      <c r="K6" s="416"/>
    </row>
    <row r="7" spans="1:12" x14ac:dyDescent="0.2">
      <c r="A7" s="620"/>
      <c r="B7" s="383" t="s">
        <v>103</v>
      </c>
      <c r="C7" s="388" t="s">
        <v>104</v>
      </c>
      <c r="D7" s="388" t="s">
        <v>104</v>
      </c>
      <c r="E7" s="386"/>
      <c r="F7" s="421"/>
      <c r="G7" s="421"/>
      <c r="H7" s="421"/>
      <c r="I7" s="421"/>
      <c r="J7" s="388" t="s">
        <v>105</v>
      </c>
      <c r="K7" s="416"/>
    </row>
    <row r="8" spans="1:12" x14ac:dyDescent="0.2">
      <c r="A8" s="620" t="s">
        <v>106</v>
      </c>
      <c r="B8" s="383" t="s">
        <v>107</v>
      </c>
      <c r="C8" s="421"/>
      <c r="D8" s="421"/>
      <c r="E8" s="422"/>
      <c r="F8" s="421"/>
      <c r="G8" s="421"/>
      <c r="H8" s="421"/>
      <c r="I8" s="421"/>
      <c r="J8" s="421"/>
      <c r="K8" s="416"/>
    </row>
    <row r="9" spans="1:12" x14ac:dyDescent="0.2">
      <c r="A9" s="620"/>
      <c r="B9" s="383" t="s">
        <v>108</v>
      </c>
      <c r="C9" s="421"/>
      <c r="D9" s="421"/>
      <c r="E9" s="419"/>
      <c r="F9" s="419"/>
      <c r="G9" s="419"/>
      <c r="H9" s="388" t="s">
        <v>109</v>
      </c>
      <c r="I9" s="419"/>
      <c r="J9" s="419"/>
      <c r="K9" s="416"/>
    </row>
    <row r="10" spans="1:12" x14ac:dyDescent="0.2">
      <c r="A10" s="620"/>
      <c r="B10" s="383" t="s">
        <v>110</v>
      </c>
      <c r="C10" s="421"/>
      <c r="D10" s="421"/>
      <c r="E10" s="388" t="s">
        <v>111</v>
      </c>
      <c r="F10" s="388" t="s">
        <v>111</v>
      </c>
      <c r="G10" s="388" t="s">
        <v>111</v>
      </c>
      <c r="H10" s="388" t="s">
        <v>111</v>
      </c>
      <c r="I10" s="388" t="s">
        <v>111</v>
      </c>
      <c r="J10" s="388" t="s">
        <v>111</v>
      </c>
      <c r="K10" s="416"/>
    </row>
    <row r="11" spans="1:12" x14ac:dyDescent="0.2">
      <c r="A11" s="382" t="s">
        <v>112</v>
      </c>
      <c r="B11" s="383" t="s">
        <v>113</v>
      </c>
      <c r="C11" s="419"/>
      <c r="D11" s="419"/>
      <c r="E11" s="388"/>
      <c r="F11" s="388"/>
      <c r="G11" s="388"/>
      <c r="H11" s="388"/>
      <c r="I11" s="388"/>
      <c r="J11" s="388"/>
      <c r="K11" s="416"/>
    </row>
    <row r="12" spans="1:12" ht="15" customHeight="1" x14ac:dyDescent="0.2">
      <c r="A12" s="621" t="s">
        <v>114</v>
      </c>
      <c r="B12" s="390" t="s">
        <v>115</v>
      </c>
      <c r="C12" s="391" t="e">
        <f>('COMPOSIÇÃO DE CUSTOS - LOTE 5'!F6+'COMPOSIÇÃO DE CUSTOS - LOTE 5'!F7+'COMPOSIÇÃO DE CUSTOS - LOTE 5'!F8+'COMPOSIÇÃO DE CUSTOS - LOTE 5'!F9+'COMPOSIÇÃO DE CUSTOS - LOTE 5'!F18+'COMPOSIÇÃO DE CUSTOS - LOTE 5'!F21)*4</f>
        <v>#DIV/0!</v>
      </c>
      <c r="D12" s="585" t="e">
        <f>('COMPOSIÇÃO DE CUSTOS - LOTE 5'!F6+'COMPOSIÇÃO DE CUSTOS - LOTE 5'!F7+'COMPOSIÇÃO DE CUSTOS - LOTE 5'!F8+'COMPOSIÇÃO DE CUSTOS - LOTE 5'!F9+'COMPOSIÇÃO DE CUSTOS - LOTE 5'!F18+'COMPOSIÇÃO DE CUSTOS - LOTE 5'!F21)*4</f>
        <v>#DIV/0!</v>
      </c>
      <c r="E12" s="585" t="e">
        <f>('COMPOSIÇÃO DE CUSTOS - LOTE 5'!F6+'COMPOSIÇÃO DE CUSTOS - LOTE 5'!F7+'COMPOSIÇÃO DE CUSTOS - LOTE 5'!F8+'COMPOSIÇÃO DE CUSTOS - LOTE 5'!F9+'COMPOSIÇÃO DE CUSTOS - LOTE 5'!F18+'COMPOSIÇÃO DE CUSTOS - LOTE 5'!F21)*4</f>
        <v>#DIV/0!</v>
      </c>
      <c r="F12" s="847" t="e">
        <f>SUM('COMPOSIÇÃO DE CUSTOS - LOTE 5'!$F$6:$F$16,'COMPOSIÇÃO DE CUSTOS - LOTE 5'!$F$18:$F$19,'COMPOSIÇÃO DE CUSTOS - LOTE 5'!$F$21:$F$23,'COMPOSIÇÃO DE CUSTOS - LOTE 5'!F20)*4</f>
        <v>#DIV/0!</v>
      </c>
      <c r="G12" s="847" t="e">
        <f>SUM('COMPOSIÇÃO DE CUSTOS - LOTE 5'!$F$6:$F$16,'COMPOSIÇÃO DE CUSTOS - LOTE 5'!$F$18:$F$19,'COMPOSIÇÃO DE CUSTOS - LOTE 5'!$F$21:$F$23)*4</f>
        <v>#DIV/0!</v>
      </c>
      <c r="H12" s="847" t="e">
        <f>SUM('COMPOSIÇÃO DE CUSTOS - LOTE 5'!$F$6:$F$16,'COMPOSIÇÃO DE CUSTOS - LOTE 5'!$F$18:$F$19,'COMPOSIÇÃO DE CUSTOS - LOTE 5'!$F$21:$F$23)*4</f>
        <v>#DIV/0!</v>
      </c>
      <c r="I12" s="847" t="e">
        <f>SUM('COMPOSIÇÃO DE CUSTOS - LOTE 5'!$F$6:$F$16,'COMPOSIÇÃO DE CUSTOS - LOTE 5'!$F$18:$F$19,'COMPOSIÇÃO DE CUSTOS - LOTE 5'!$F$21:$F$23)*4</f>
        <v>#DIV/0!</v>
      </c>
      <c r="J12" s="847" t="e">
        <f>SUM('COMPOSIÇÃO DE CUSTOS - LOTE 5'!$F$6:$F$16,'COMPOSIÇÃO DE CUSTOS - LOTE 5'!$F$18:$F$19,'COMPOSIÇÃO DE CUSTOS - LOTE 5'!$F$21:$F$23)*4</f>
        <v>#DIV/0!</v>
      </c>
      <c r="K12" s="416"/>
      <c r="L12" s="418"/>
    </row>
    <row r="13" spans="1:12" x14ac:dyDescent="0.2">
      <c r="A13" s="621"/>
      <c r="B13" s="392" t="s">
        <v>116</v>
      </c>
      <c r="C13" s="393" t="e">
        <f t="shared" ref="C13:J13" si="0">C12/$I$45</f>
        <v>#DIV/0!</v>
      </c>
      <c r="D13" s="393" t="e">
        <f t="shared" si="0"/>
        <v>#DIV/0!</v>
      </c>
      <c r="E13" s="393" t="e">
        <f t="shared" si="0"/>
        <v>#DIV/0!</v>
      </c>
      <c r="F13" s="393" t="e">
        <f t="shared" si="0"/>
        <v>#DIV/0!</v>
      </c>
      <c r="G13" s="393" t="e">
        <f t="shared" si="0"/>
        <v>#DIV/0!</v>
      </c>
      <c r="H13" s="393" t="e">
        <f t="shared" si="0"/>
        <v>#DIV/0!</v>
      </c>
      <c r="I13" s="393" t="e">
        <f t="shared" si="0"/>
        <v>#DIV/0!</v>
      </c>
      <c r="J13" s="393" t="e">
        <f t="shared" si="0"/>
        <v>#DIV/0!</v>
      </c>
      <c r="K13" s="416"/>
    </row>
    <row r="14" spans="1:12" x14ac:dyDescent="0.2">
      <c r="A14" s="621"/>
      <c r="B14" s="390" t="s">
        <v>117</v>
      </c>
      <c r="C14" s="391" t="e">
        <f>C12</f>
        <v>#DIV/0!</v>
      </c>
      <c r="D14" s="391" t="e">
        <f t="shared" ref="D14:F15" si="1">D12+C14</f>
        <v>#DIV/0!</v>
      </c>
      <c r="E14" s="391" t="e">
        <f t="shared" si="1"/>
        <v>#DIV/0!</v>
      </c>
      <c r="F14" s="391" t="e">
        <f t="shared" si="1"/>
        <v>#DIV/0!</v>
      </c>
      <c r="G14" s="391" t="e">
        <f t="shared" ref="G14:I15" si="2">G12+F14</f>
        <v>#DIV/0!</v>
      </c>
      <c r="H14" s="391" t="e">
        <f t="shared" si="2"/>
        <v>#DIV/0!</v>
      </c>
      <c r="I14" s="391" t="e">
        <f t="shared" si="2"/>
        <v>#DIV/0!</v>
      </c>
      <c r="J14" s="391" t="e">
        <f>I14+J12</f>
        <v>#DIV/0!</v>
      </c>
      <c r="K14" s="416"/>
    </row>
    <row r="15" spans="1:12" x14ac:dyDescent="0.2">
      <c r="A15" s="621"/>
      <c r="B15" s="392" t="s">
        <v>118</v>
      </c>
      <c r="C15" s="393" t="e">
        <f>C13</f>
        <v>#DIV/0!</v>
      </c>
      <c r="D15" s="393" t="e">
        <f t="shared" si="1"/>
        <v>#DIV/0!</v>
      </c>
      <c r="E15" s="393" t="e">
        <f t="shared" si="1"/>
        <v>#DIV/0!</v>
      </c>
      <c r="F15" s="393" t="e">
        <f t="shared" si="1"/>
        <v>#DIV/0!</v>
      </c>
      <c r="G15" s="393" t="e">
        <f t="shared" si="2"/>
        <v>#DIV/0!</v>
      </c>
      <c r="H15" s="393" t="e">
        <f t="shared" si="2"/>
        <v>#DIV/0!</v>
      </c>
      <c r="I15" s="393" t="e">
        <f t="shared" si="2"/>
        <v>#DIV/0!</v>
      </c>
      <c r="J15" s="393" t="e">
        <f>I15+J13</f>
        <v>#DIV/0!</v>
      </c>
      <c r="K15" s="416"/>
    </row>
    <row r="16" spans="1:12" ht="15" customHeight="1" x14ac:dyDescent="0.2">
      <c r="A16" s="622" t="s">
        <v>119</v>
      </c>
      <c r="B16" s="394" t="s">
        <v>120</v>
      </c>
      <c r="C16" s="395">
        <v>0</v>
      </c>
      <c r="D16" s="395">
        <v>0</v>
      </c>
      <c r="E16" s="395">
        <v>0</v>
      </c>
      <c r="F16" s="395">
        <f>'COMPOSIÇÃO DE CUSTOS - LOTE 5'!I44/12</f>
        <v>0</v>
      </c>
      <c r="G16" s="395">
        <f>'COMPOSIÇÃO DE CUSTOS - LOTE 5'!I44/12</f>
        <v>0</v>
      </c>
      <c r="H16" s="395">
        <f>'COMPOSIÇÃO DE CUSTOS - LOTE 5'!I44/12</f>
        <v>0</v>
      </c>
      <c r="I16" s="395">
        <f>'COMPOSIÇÃO DE CUSTOS - LOTE 5'!I44/12</f>
        <v>0</v>
      </c>
      <c r="J16" s="395">
        <f>'COMPOSIÇÃO DE CUSTOS - LOTE 5'!I44/12</f>
        <v>0</v>
      </c>
      <c r="K16" s="416"/>
    </row>
    <row r="17" spans="1:11" x14ac:dyDescent="0.2">
      <c r="A17" s="622"/>
      <c r="B17" s="396" t="s">
        <v>116</v>
      </c>
      <c r="C17" s="397" t="e">
        <f t="shared" ref="C17:J17" si="3">C16/$I$45</f>
        <v>#DIV/0!</v>
      </c>
      <c r="D17" s="397" t="e">
        <f t="shared" si="3"/>
        <v>#DIV/0!</v>
      </c>
      <c r="E17" s="397" t="e">
        <f t="shared" si="3"/>
        <v>#DIV/0!</v>
      </c>
      <c r="F17" s="397" t="e">
        <f t="shared" si="3"/>
        <v>#DIV/0!</v>
      </c>
      <c r="G17" s="397" t="e">
        <f t="shared" si="3"/>
        <v>#DIV/0!</v>
      </c>
      <c r="H17" s="397" t="e">
        <f t="shared" si="3"/>
        <v>#DIV/0!</v>
      </c>
      <c r="I17" s="397" t="e">
        <f t="shared" si="3"/>
        <v>#DIV/0!</v>
      </c>
      <c r="J17" s="397" t="e">
        <f t="shared" si="3"/>
        <v>#DIV/0!</v>
      </c>
      <c r="K17" s="416"/>
    </row>
    <row r="18" spans="1:11" x14ac:dyDescent="0.2">
      <c r="A18" s="622"/>
      <c r="B18" s="394" t="s">
        <v>117</v>
      </c>
      <c r="C18" s="395">
        <f>C16</f>
        <v>0</v>
      </c>
      <c r="D18" s="395">
        <f t="shared" ref="D18:F19" si="4">D16+C18</f>
        <v>0</v>
      </c>
      <c r="E18" s="395">
        <f t="shared" si="4"/>
        <v>0</v>
      </c>
      <c r="F18" s="395">
        <f t="shared" si="4"/>
        <v>0</v>
      </c>
      <c r="G18" s="395">
        <f t="shared" ref="G18:I19" si="5">G16+F18</f>
        <v>0</v>
      </c>
      <c r="H18" s="395">
        <f t="shared" si="5"/>
        <v>0</v>
      </c>
      <c r="I18" s="395">
        <f t="shared" si="5"/>
        <v>0</v>
      </c>
      <c r="J18" s="395">
        <f>I18+J16</f>
        <v>0</v>
      </c>
      <c r="K18" s="416"/>
    </row>
    <row r="19" spans="1:11" x14ac:dyDescent="0.2">
      <c r="A19" s="622"/>
      <c r="B19" s="396" t="s">
        <v>118</v>
      </c>
      <c r="C19" s="397" t="e">
        <f>C17</f>
        <v>#DIV/0!</v>
      </c>
      <c r="D19" s="397" t="e">
        <f t="shared" si="4"/>
        <v>#DIV/0!</v>
      </c>
      <c r="E19" s="397" t="e">
        <f t="shared" si="4"/>
        <v>#DIV/0!</v>
      </c>
      <c r="F19" s="397" t="e">
        <f t="shared" si="4"/>
        <v>#DIV/0!</v>
      </c>
      <c r="G19" s="397" t="e">
        <f t="shared" si="5"/>
        <v>#DIV/0!</v>
      </c>
      <c r="H19" s="397" t="e">
        <f t="shared" si="5"/>
        <v>#DIV/0!</v>
      </c>
      <c r="I19" s="397" t="e">
        <f t="shared" si="5"/>
        <v>#DIV/0!</v>
      </c>
      <c r="J19" s="397" t="e">
        <f>I19+J17</f>
        <v>#DIV/0!</v>
      </c>
      <c r="K19" s="416"/>
    </row>
    <row r="20" spans="1:11" x14ac:dyDescent="0.2">
      <c r="A20" s="623" t="s">
        <v>121</v>
      </c>
      <c r="B20" s="398" t="s">
        <v>115</v>
      </c>
      <c r="C20" s="399" t="e">
        <f>C12+C16</f>
        <v>#DIV/0!</v>
      </c>
      <c r="D20" s="399" t="e">
        <f t="shared" ref="D20" si="6">D12+D16</f>
        <v>#DIV/0!</v>
      </c>
      <c r="E20" s="399" t="e">
        <f t="shared" ref="E20:J20" si="7">E12+E16</f>
        <v>#DIV/0!</v>
      </c>
      <c r="F20" s="399" t="e">
        <f t="shared" si="7"/>
        <v>#DIV/0!</v>
      </c>
      <c r="G20" s="399" t="e">
        <f t="shared" si="7"/>
        <v>#DIV/0!</v>
      </c>
      <c r="H20" s="399" t="e">
        <f t="shared" si="7"/>
        <v>#DIV/0!</v>
      </c>
      <c r="I20" s="399" t="e">
        <f t="shared" si="7"/>
        <v>#DIV/0!</v>
      </c>
      <c r="J20" s="399" t="e">
        <f t="shared" si="7"/>
        <v>#DIV/0!</v>
      </c>
      <c r="K20" s="416"/>
    </row>
    <row r="21" spans="1:11" x14ac:dyDescent="0.2">
      <c r="A21" s="623"/>
      <c r="B21" s="400" t="s">
        <v>116</v>
      </c>
      <c r="C21" s="401" t="e">
        <f t="shared" ref="C21:J21" si="8">C20/$I$45</f>
        <v>#DIV/0!</v>
      </c>
      <c r="D21" s="401" t="e">
        <f t="shared" si="8"/>
        <v>#DIV/0!</v>
      </c>
      <c r="E21" s="401" t="e">
        <f t="shared" si="8"/>
        <v>#DIV/0!</v>
      </c>
      <c r="F21" s="401" t="e">
        <f t="shared" si="8"/>
        <v>#DIV/0!</v>
      </c>
      <c r="G21" s="401" t="e">
        <f t="shared" si="8"/>
        <v>#DIV/0!</v>
      </c>
      <c r="H21" s="401" t="e">
        <f t="shared" si="8"/>
        <v>#DIV/0!</v>
      </c>
      <c r="I21" s="401" t="e">
        <f t="shared" si="8"/>
        <v>#DIV/0!</v>
      </c>
      <c r="J21" s="401" t="e">
        <f t="shared" si="8"/>
        <v>#DIV/0!</v>
      </c>
      <c r="K21" s="416"/>
    </row>
    <row r="22" spans="1:11" x14ac:dyDescent="0.2">
      <c r="A22" s="623"/>
      <c r="B22" s="398" t="s">
        <v>117</v>
      </c>
      <c r="C22" s="399" t="e">
        <f>C20</f>
        <v>#DIV/0!</v>
      </c>
      <c r="D22" s="399" t="e">
        <f t="shared" ref="D22:F23" si="9">D20+C22</f>
        <v>#DIV/0!</v>
      </c>
      <c r="E22" s="399" t="e">
        <f t="shared" si="9"/>
        <v>#DIV/0!</v>
      </c>
      <c r="F22" s="399" t="e">
        <f t="shared" si="9"/>
        <v>#DIV/0!</v>
      </c>
      <c r="G22" s="399" t="e">
        <f t="shared" ref="G22:I23" si="10">G20+F22</f>
        <v>#DIV/0!</v>
      </c>
      <c r="H22" s="399" t="e">
        <f t="shared" si="10"/>
        <v>#DIV/0!</v>
      </c>
      <c r="I22" s="399" t="e">
        <f t="shared" si="10"/>
        <v>#DIV/0!</v>
      </c>
      <c r="J22" s="399" t="e">
        <f>I22+J20</f>
        <v>#DIV/0!</v>
      </c>
      <c r="K22" s="416"/>
    </row>
    <row r="23" spans="1:11" x14ac:dyDescent="0.2">
      <c r="A23" s="623"/>
      <c r="B23" s="400" t="s">
        <v>118</v>
      </c>
      <c r="C23" s="401" t="e">
        <f>C22/$I$45</f>
        <v>#DIV/0!</v>
      </c>
      <c r="D23" s="401" t="e">
        <f t="shared" si="9"/>
        <v>#DIV/0!</v>
      </c>
      <c r="E23" s="401" t="e">
        <f t="shared" si="9"/>
        <v>#DIV/0!</v>
      </c>
      <c r="F23" s="401" t="e">
        <f t="shared" si="9"/>
        <v>#DIV/0!</v>
      </c>
      <c r="G23" s="401" t="e">
        <f t="shared" si="10"/>
        <v>#DIV/0!</v>
      </c>
      <c r="H23" s="401" t="e">
        <f t="shared" si="10"/>
        <v>#DIV/0!</v>
      </c>
      <c r="I23" s="401" t="e">
        <f t="shared" si="10"/>
        <v>#DIV/0!</v>
      </c>
      <c r="J23" s="401" t="e">
        <f>I23+J21</f>
        <v>#DIV/0!</v>
      </c>
      <c r="K23" s="416"/>
    </row>
    <row r="24" spans="1:11" x14ac:dyDescent="0.2">
      <c r="A24" s="412"/>
      <c r="B24" s="413"/>
      <c r="C24" s="414"/>
      <c r="D24" s="414"/>
      <c r="E24" s="415"/>
      <c r="F24" s="414"/>
      <c r="G24" s="414"/>
      <c r="H24" s="414"/>
      <c r="I24" s="414"/>
      <c r="J24" s="414"/>
      <c r="K24" s="416"/>
    </row>
    <row r="25" spans="1:11" x14ac:dyDescent="0.2">
      <c r="A25" s="638" t="s">
        <v>88</v>
      </c>
      <c r="B25" s="638" t="s">
        <v>89</v>
      </c>
      <c r="C25" s="633" t="s">
        <v>91</v>
      </c>
      <c r="D25" s="634"/>
      <c r="E25" s="634"/>
      <c r="F25" s="634"/>
      <c r="G25" s="634"/>
      <c r="H25" s="634"/>
      <c r="I25" s="634"/>
      <c r="J25" s="634"/>
      <c r="K25" s="634"/>
    </row>
    <row r="26" spans="1:11" x14ac:dyDescent="0.2">
      <c r="A26" s="638"/>
      <c r="B26" s="638"/>
      <c r="C26" s="380" t="s">
        <v>122</v>
      </c>
      <c r="D26" s="380" t="s">
        <v>123</v>
      </c>
      <c r="E26" s="380" t="s">
        <v>124</v>
      </c>
      <c r="F26" s="380" t="s">
        <v>125</v>
      </c>
      <c r="G26" s="380" t="s">
        <v>126</v>
      </c>
      <c r="H26" s="380" t="s">
        <v>127</v>
      </c>
      <c r="I26" s="380" t="s">
        <v>128</v>
      </c>
      <c r="J26" s="380" t="s">
        <v>129</v>
      </c>
      <c r="K26" s="380" t="s">
        <v>130</v>
      </c>
    </row>
    <row r="27" spans="1:11" ht="15" customHeight="1" x14ac:dyDescent="0.2">
      <c r="A27" s="620" t="s">
        <v>100</v>
      </c>
      <c r="B27" s="383" t="s">
        <v>101</v>
      </c>
      <c r="C27" s="385"/>
      <c r="D27" s="386"/>
      <c r="E27" s="385"/>
      <c r="F27" s="385"/>
      <c r="G27" s="385"/>
      <c r="H27" s="385"/>
      <c r="I27" s="385"/>
      <c r="J27" s="624" t="s">
        <v>131</v>
      </c>
      <c r="K27" s="625"/>
    </row>
    <row r="28" spans="1:11" x14ac:dyDescent="0.2">
      <c r="A28" s="620"/>
      <c r="B28" s="383" t="s">
        <v>102</v>
      </c>
      <c r="C28" s="385"/>
      <c r="D28" s="386"/>
      <c r="E28" s="385"/>
      <c r="F28" s="385"/>
      <c r="G28" s="385"/>
      <c r="H28" s="385"/>
      <c r="I28" s="385"/>
      <c r="J28" s="626"/>
      <c r="K28" s="627"/>
    </row>
    <row r="29" spans="1:11" x14ac:dyDescent="0.2">
      <c r="A29" s="620"/>
      <c r="B29" s="383" t="s">
        <v>103</v>
      </c>
      <c r="C29" s="385"/>
      <c r="D29" s="386"/>
      <c r="E29" s="385"/>
      <c r="F29" s="385"/>
      <c r="G29" s="421"/>
      <c r="H29" s="388" t="s">
        <v>105</v>
      </c>
      <c r="I29" s="421"/>
      <c r="J29" s="626"/>
      <c r="K29" s="627"/>
    </row>
    <row r="30" spans="1:11" x14ac:dyDescent="0.2">
      <c r="A30" s="630" t="s">
        <v>106</v>
      </c>
      <c r="B30" s="383" t="s">
        <v>107</v>
      </c>
      <c r="C30" s="385"/>
      <c r="D30" s="386"/>
      <c r="E30" s="385"/>
      <c r="F30" s="385"/>
      <c r="G30" s="385"/>
      <c r="H30" s="385"/>
      <c r="I30" s="385"/>
      <c r="J30" s="626"/>
      <c r="K30" s="627"/>
    </row>
    <row r="31" spans="1:11" x14ac:dyDescent="0.2">
      <c r="A31" s="631"/>
      <c r="B31" s="383" t="s">
        <v>108</v>
      </c>
      <c r="C31" s="388" t="s">
        <v>109</v>
      </c>
      <c r="D31" s="402"/>
      <c r="E31" s="419"/>
      <c r="F31" s="388" t="s">
        <v>109</v>
      </c>
      <c r="G31" s="419"/>
      <c r="H31" s="419"/>
      <c r="I31" s="388" t="s">
        <v>109</v>
      </c>
      <c r="J31" s="626"/>
      <c r="K31" s="627"/>
    </row>
    <row r="32" spans="1:11" x14ac:dyDescent="0.2">
      <c r="A32" s="631"/>
      <c r="B32" s="383" t="s">
        <v>110</v>
      </c>
      <c r="C32" s="388" t="s">
        <v>111</v>
      </c>
      <c r="D32" s="388" t="s">
        <v>111</v>
      </c>
      <c r="E32" s="388" t="s">
        <v>111</v>
      </c>
      <c r="F32" s="388" t="s">
        <v>111</v>
      </c>
      <c r="G32" s="388" t="s">
        <v>111</v>
      </c>
      <c r="H32" s="388" t="s">
        <v>111</v>
      </c>
      <c r="I32" s="388" t="s">
        <v>111</v>
      </c>
      <c r="J32" s="626"/>
      <c r="K32" s="627"/>
    </row>
    <row r="33" spans="1:11" x14ac:dyDescent="0.2">
      <c r="A33" s="632"/>
      <c r="B33" s="383" t="s">
        <v>132</v>
      </c>
      <c r="C33" s="420"/>
      <c r="D33" s="420"/>
      <c r="E33" s="420"/>
      <c r="F33" s="420"/>
      <c r="G33" s="420"/>
      <c r="H33" s="420"/>
      <c r="I33" s="388" t="s">
        <v>133</v>
      </c>
      <c r="J33" s="626"/>
      <c r="K33" s="627"/>
    </row>
    <row r="34" spans="1:11" x14ac:dyDescent="0.2">
      <c r="A34" s="382" t="s">
        <v>112</v>
      </c>
      <c r="B34" s="383" t="s">
        <v>113</v>
      </c>
      <c r="C34" s="388"/>
      <c r="D34" s="388"/>
      <c r="E34" s="388"/>
      <c r="F34" s="388"/>
      <c r="G34" s="388"/>
      <c r="H34" s="388"/>
      <c r="I34" s="388"/>
      <c r="J34" s="626"/>
      <c r="K34" s="627"/>
    </row>
    <row r="35" spans="1:11" ht="15" customHeight="1" x14ac:dyDescent="0.2">
      <c r="A35" s="621" t="s">
        <v>114</v>
      </c>
      <c r="B35" s="390" t="s">
        <v>115</v>
      </c>
      <c r="C35" s="847" t="e">
        <f>SUM('COMPOSIÇÃO DE CUSTOS - LOTE 5'!$F$6:$F$16,'COMPOSIÇÃO DE CUSTOS - LOTE 5'!$F$18:$F$19,'COMPOSIÇÃO DE CUSTOS - LOTE 5'!$F$21:$F$23)*4</f>
        <v>#DIV/0!</v>
      </c>
      <c r="D35" s="847" t="e">
        <f>SUM('COMPOSIÇÃO DE CUSTOS - LOTE 5'!$F$6:$F$16,'COMPOSIÇÃO DE CUSTOS - LOTE 5'!$F$18:$F$19,'COMPOSIÇÃO DE CUSTOS - LOTE 5'!$F$21:$F$23)*4</f>
        <v>#DIV/0!</v>
      </c>
      <c r="E35" s="847" t="e">
        <f>SUM('COMPOSIÇÃO DE CUSTOS - LOTE 5'!$F$6:$F$16,'COMPOSIÇÃO DE CUSTOS - LOTE 5'!$F$18:$F$19,'COMPOSIÇÃO DE CUSTOS - LOTE 5'!$F$21:$F$23)*4</f>
        <v>#DIV/0!</v>
      </c>
      <c r="F35" s="847" t="e">
        <f>SUM('COMPOSIÇÃO DE CUSTOS - LOTE 5'!$F$6:$F$16,'COMPOSIÇÃO DE CUSTOS - LOTE 5'!$F$18:$F$19,'COMPOSIÇÃO DE CUSTOS - LOTE 5'!$F$21:$F$23)*4</f>
        <v>#DIV/0!</v>
      </c>
      <c r="G35" s="847" t="e">
        <f>SUM('COMPOSIÇÃO DE CUSTOS - LOTE 5'!$F$6:$F$16,'COMPOSIÇÃO DE CUSTOS - LOTE 5'!$F$18:$F$19,'COMPOSIÇÃO DE CUSTOS - LOTE 5'!$F$21:$F$23)*4</f>
        <v>#DIV/0!</v>
      </c>
      <c r="H35" s="847" t="e">
        <f>SUM('COMPOSIÇÃO DE CUSTOS - LOTE 5'!$F$6:$F$16,'COMPOSIÇÃO DE CUSTOS - LOTE 5'!$F$18:$F$19,'COMPOSIÇÃO DE CUSTOS - LOTE 5'!$F$21:$F$23)*4</f>
        <v>#DIV/0!</v>
      </c>
      <c r="I35" s="847" t="e">
        <f>SUM('COMPOSIÇÃO DE CUSTOS - LOTE 5'!$F$6:$F$16,'COMPOSIÇÃO DE CUSTOS - LOTE 5'!$F$18:$F$19,'COMPOSIÇÃO DE CUSTOS - LOTE 5'!$F$21:$F$23)*4</f>
        <v>#DIV/0!</v>
      </c>
      <c r="J35" s="626"/>
      <c r="K35" s="627"/>
    </row>
    <row r="36" spans="1:11" x14ac:dyDescent="0.2">
      <c r="A36" s="621"/>
      <c r="B36" s="392" t="s">
        <v>116</v>
      </c>
      <c r="C36" s="393" t="e">
        <f t="shared" ref="C36:I36" si="11">C35/$I$45</f>
        <v>#DIV/0!</v>
      </c>
      <c r="D36" s="393" t="e">
        <f t="shared" si="11"/>
        <v>#DIV/0!</v>
      </c>
      <c r="E36" s="393" t="e">
        <f t="shared" si="11"/>
        <v>#DIV/0!</v>
      </c>
      <c r="F36" s="393" t="e">
        <f t="shared" si="11"/>
        <v>#DIV/0!</v>
      </c>
      <c r="G36" s="393" t="e">
        <f t="shared" si="11"/>
        <v>#DIV/0!</v>
      </c>
      <c r="H36" s="393" t="e">
        <f t="shared" si="11"/>
        <v>#DIV/0!</v>
      </c>
      <c r="I36" s="393" t="e">
        <f t="shared" si="11"/>
        <v>#DIV/0!</v>
      </c>
      <c r="J36" s="626"/>
      <c r="K36" s="627"/>
    </row>
    <row r="37" spans="1:11" x14ac:dyDescent="0.2">
      <c r="A37" s="621"/>
      <c r="B37" s="390" t="s">
        <v>117</v>
      </c>
      <c r="C37" s="391" t="e">
        <f>C35+J14</f>
        <v>#DIV/0!</v>
      </c>
      <c r="D37" s="389" t="e">
        <f t="shared" ref="D37:I38" si="12">D35+C37</f>
        <v>#DIV/0!</v>
      </c>
      <c r="E37" s="391" t="e">
        <f t="shared" si="12"/>
        <v>#DIV/0!</v>
      </c>
      <c r="F37" s="391" t="e">
        <f t="shared" si="12"/>
        <v>#DIV/0!</v>
      </c>
      <c r="G37" s="391" t="e">
        <f t="shared" si="12"/>
        <v>#DIV/0!</v>
      </c>
      <c r="H37" s="391" t="e">
        <f t="shared" si="12"/>
        <v>#DIV/0!</v>
      </c>
      <c r="I37" s="391" t="e">
        <f t="shared" si="12"/>
        <v>#DIV/0!</v>
      </c>
      <c r="J37" s="626"/>
      <c r="K37" s="627"/>
    </row>
    <row r="38" spans="1:11" x14ac:dyDescent="0.2">
      <c r="A38" s="621"/>
      <c r="B38" s="392" t="s">
        <v>118</v>
      </c>
      <c r="C38" s="393" t="e">
        <f>C36+J15</f>
        <v>#DIV/0!</v>
      </c>
      <c r="D38" s="403" t="e">
        <f t="shared" si="12"/>
        <v>#DIV/0!</v>
      </c>
      <c r="E38" s="393" t="e">
        <f t="shared" si="12"/>
        <v>#DIV/0!</v>
      </c>
      <c r="F38" s="393" t="e">
        <f t="shared" si="12"/>
        <v>#DIV/0!</v>
      </c>
      <c r="G38" s="393" t="e">
        <f t="shared" si="12"/>
        <v>#DIV/0!</v>
      </c>
      <c r="H38" s="393" t="e">
        <f t="shared" si="12"/>
        <v>#DIV/0!</v>
      </c>
      <c r="I38" s="393" t="e">
        <f t="shared" si="12"/>
        <v>#DIV/0!</v>
      </c>
      <c r="J38" s="626"/>
      <c r="K38" s="627"/>
    </row>
    <row r="39" spans="1:11" ht="15" customHeight="1" x14ac:dyDescent="0.2">
      <c r="A39" s="622" t="s">
        <v>119</v>
      </c>
      <c r="B39" s="394" t="s">
        <v>120</v>
      </c>
      <c r="C39" s="395">
        <f>'COMPOSIÇÃO DE CUSTOS - LOTE 5'!I44/12</f>
        <v>0</v>
      </c>
      <c r="D39" s="404">
        <f>'COMPOSIÇÃO DE CUSTOS - LOTE 5'!I44/12</f>
        <v>0</v>
      </c>
      <c r="E39" s="395">
        <f>'COMPOSIÇÃO DE CUSTOS - LOTE 5'!I44/12</f>
        <v>0</v>
      </c>
      <c r="F39" s="395">
        <f>'COMPOSIÇÃO DE CUSTOS - LOTE 5'!I44/12</f>
        <v>0</v>
      </c>
      <c r="G39" s="395">
        <f>'COMPOSIÇÃO DE CUSTOS - LOTE 5'!I44/12</f>
        <v>0</v>
      </c>
      <c r="H39" s="395">
        <f>'COMPOSIÇÃO DE CUSTOS - LOTE 5'!I44/12</f>
        <v>0</v>
      </c>
      <c r="I39" s="395">
        <f>'COMPOSIÇÃO DE CUSTOS - LOTE 5'!I44/12</f>
        <v>0</v>
      </c>
      <c r="J39" s="626"/>
      <c r="K39" s="627"/>
    </row>
    <row r="40" spans="1:11" x14ac:dyDescent="0.2">
      <c r="A40" s="622"/>
      <c r="B40" s="396" t="s">
        <v>116</v>
      </c>
      <c r="C40" s="397" t="e">
        <f t="shared" ref="C40:I40" si="13">C39/$I$45</f>
        <v>#DIV/0!</v>
      </c>
      <c r="D40" s="397" t="e">
        <f t="shared" si="13"/>
        <v>#DIV/0!</v>
      </c>
      <c r="E40" s="397" t="e">
        <f t="shared" si="13"/>
        <v>#DIV/0!</v>
      </c>
      <c r="F40" s="397" t="e">
        <f t="shared" si="13"/>
        <v>#DIV/0!</v>
      </c>
      <c r="G40" s="397" t="e">
        <f t="shared" si="13"/>
        <v>#DIV/0!</v>
      </c>
      <c r="H40" s="397" t="e">
        <f t="shared" si="13"/>
        <v>#DIV/0!</v>
      </c>
      <c r="I40" s="397" t="e">
        <f t="shared" si="13"/>
        <v>#DIV/0!</v>
      </c>
      <c r="J40" s="626"/>
      <c r="K40" s="627"/>
    </row>
    <row r="41" spans="1:11" x14ac:dyDescent="0.2">
      <c r="A41" s="622"/>
      <c r="B41" s="394" t="s">
        <v>117</v>
      </c>
      <c r="C41" s="395">
        <f>C39+J18</f>
        <v>0</v>
      </c>
      <c r="D41" s="405">
        <f t="shared" ref="D41:I42" si="14">D39+C41</f>
        <v>0</v>
      </c>
      <c r="E41" s="395">
        <f t="shared" si="14"/>
        <v>0</v>
      </c>
      <c r="F41" s="395">
        <f t="shared" si="14"/>
        <v>0</v>
      </c>
      <c r="G41" s="395">
        <f t="shared" si="14"/>
        <v>0</v>
      </c>
      <c r="H41" s="395">
        <f t="shared" si="14"/>
        <v>0</v>
      </c>
      <c r="I41" s="395">
        <f t="shared" si="14"/>
        <v>0</v>
      </c>
      <c r="J41" s="626"/>
      <c r="K41" s="627"/>
    </row>
    <row r="42" spans="1:11" x14ac:dyDescent="0.2">
      <c r="A42" s="622"/>
      <c r="B42" s="396" t="s">
        <v>118</v>
      </c>
      <c r="C42" s="397" t="e">
        <f>C40+J19</f>
        <v>#DIV/0!</v>
      </c>
      <c r="D42" s="397" t="e">
        <f t="shared" si="14"/>
        <v>#DIV/0!</v>
      </c>
      <c r="E42" s="397" t="e">
        <f t="shared" si="14"/>
        <v>#DIV/0!</v>
      </c>
      <c r="F42" s="397" t="e">
        <f t="shared" si="14"/>
        <v>#DIV/0!</v>
      </c>
      <c r="G42" s="397" t="e">
        <f t="shared" si="14"/>
        <v>#DIV/0!</v>
      </c>
      <c r="H42" s="397" t="e">
        <f t="shared" si="14"/>
        <v>#DIV/0!</v>
      </c>
      <c r="I42" s="397" t="e">
        <f t="shared" si="14"/>
        <v>#DIV/0!</v>
      </c>
      <c r="J42" s="626"/>
      <c r="K42" s="627"/>
    </row>
    <row r="43" spans="1:11" x14ac:dyDescent="0.2">
      <c r="A43" s="623" t="s">
        <v>121</v>
      </c>
      <c r="B43" s="398" t="s">
        <v>115</v>
      </c>
      <c r="C43" s="399" t="e">
        <f t="shared" ref="C43:I43" si="15">C35+C39</f>
        <v>#DIV/0!</v>
      </c>
      <c r="D43" s="399" t="e">
        <f t="shared" si="15"/>
        <v>#DIV/0!</v>
      </c>
      <c r="E43" s="399" t="e">
        <f t="shared" si="15"/>
        <v>#DIV/0!</v>
      </c>
      <c r="F43" s="399" t="e">
        <f t="shared" si="15"/>
        <v>#DIV/0!</v>
      </c>
      <c r="G43" s="399" t="e">
        <f t="shared" si="15"/>
        <v>#DIV/0!</v>
      </c>
      <c r="H43" s="399" t="e">
        <f t="shared" si="15"/>
        <v>#DIV/0!</v>
      </c>
      <c r="I43" s="399" t="e">
        <f t="shared" si="15"/>
        <v>#DIV/0!</v>
      </c>
      <c r="J43" s="626"/>
      <c r="K43" s="627"/>
    </row>
    <row r="44" spans="1:11" x14ac:dyDescent="0.2">
      <c r="A44" s="623"/>
      <c r="B44" s="400" t="s">
        <v>116</v>
      </c>
      <c r="C44" s="401" t="e">
        <f t="shared" ref="C44:I44" si="16">C43/$I$45</f>
        <v>#DIV/0!</v>
      </c>
      <c r="D44" s="401" t="e">
        <f t="shared" si="16"/>
        <v>#DIV/0!</v>
      </c>
      <c r="E44" s="401" t="e">
        <f t="shared" si="16"/>
        <v>#DIV/0!</v>
      </c>
      <c r="F44" s="401" t="e">
        <f t="shared" si="16"/>
        <v>#DIV/0!</v>
      </c>
      <c r="G44" s="401" t="e">
        <f t="shared" si="16"/>
        <v>#DIV/0!</v>
      </c>
      <c r="H44" s="401" t="e">
        <f t="shared" si="16"/>
        <v>#DIV/0!</v>
      </c>
      <c r="I44" s="401" t="e">
        <f t="shared" si="16"/>
        <v>#DIV/0!</v>
      </c>
      <c r="J44" s="626"/>
      <c r="K44" s="627"/>
    </row>
    <row r="45" spans="1:11" x14ac:dyDescent="0.2">
      <c r="A45" s="623"/>
      <c r="B45" s="398" t="s">
        <v>117</v>
      </c>
      <c r="C45" s="399" t="e">
        <f>C43+J22</f>
        <v>#DIV/0!</v>
      </c>
      <c r="D45" s="399" t="e">
        <f t="shared" ref="D45:I46" si="17">D43+C45</f>
        <v>#DIV/0!</v>
      </c>
      <c r="E45" s="399" t="e">
        <f t="shared" si="17"/>
        <v>#DIV/0!</v>
      </c>
      <c r="F45" s="399" t="e">
        <f t="shared" si="17"/>
        <v>#DIV/0!</v>
      </c>
      <c r="G45" s="399" t="e">
        <f t="shared" si="17"/>
        <v>#DIV/0!</v>
      </c>
      <c r="H45" s="399" t="e">
        <f t="shared" si="17"/>
        <v>#DIV/0!</v>
      </c>
      <c r="I45" s="399" t="e">
        <f>I43+H45</f>
        <v>#DIV/0!</v>
      </c>
      <c r="J45" s="626"/>
      <c r="K45" s="627"/>
    </row>
    <row r="46" spans="1:11" x14ac:dyDescent="0.2">
      <c r="A46" s="623"/>
      <c r="B46" s="400" t="s">
        <v>118</v>
      </c>
      <c r="C46" s="401" t="e">
        <f>C44+J23</f>
        <v>#DIV/0!</v>
      </c>
      <c r="D46" s="406" t="e">
        <f t="shared" si="17"/>
        <v>#DIV/0!</v>
      </c>
      <c r="E46" s="401" t="e">
        <f t="shared" si="17"/>
        <v>#DIV/0!</v>
      </c>
      <c r="F46" s="401" t="e">
        <f t="shared" si="17"/>
        <v>#DIV/0!</v>
      </c>
      <c r="G46" s="401" t="e">
        <f t="shared" si="17"/>
        <v>#DIV/0!</v>
      </c>
      <c r="H46" s="401" t="e">
        <f t="shared" si="17"/>
        <v>#DIV/0!</v>
      </c>
      <c r="I46" s="401" t="e">
        <f t="shared" si="17"/>
        <v>#DIV/0!</v>
      </c>
      <c r="J46" s="628"/>
      <c r="K46" s="629"/>
    </row>
    <row r="47" spans="1:11" ht="23.25" customHeight="1" x14ac:dyDescent="0.2">
      <c r="A47" s="619" t="s">
        <v>134</v>
      </c>
      <c r="B47" s="619"/>
      <c r="C47" s="619"/>
      <c r="D47" s="619"/>
      <c r="E47" s="619"/>
      <c r="F47" s="619"/>
      <c r="G47" s="619"/>
      <c r="H47" s="619"/>
      <c r="I47" s="619"/>
      <c r="J47" s="619"/>
    </row>
    <row r="48" spans="1:11" x14ac:dyDescent="0.2">
      <c r="A48" s="114"/>
      <c r="B48" s="118"/>
      <c r="C48" s="118"/>
      <c r="D48" s="118"/>
      <c r="E48" s="118"/>
      <c r="F48" s="118"/>
      <c r="G48" s="118"/>
      <c r="H48" s="118"/>
      <c r="I48" s="118"/>
      <c r="J48" s="118"/>
    </row>
    <row r="49" spans="1:10" x14ac:dyDescent="0.2">
      <c r="A49" s="117"/>
      <c r="B49" s="117"/>
      <c r="C49" s="117"/>
      <c r="D49" s="117"/>
      <c r="E49" s="117"/>
      <c r="F49" s="117"/>
      <c r="G49" s="117"/>
      <c r="H49" s="117"/>
      <c r="I49" s="117"/>
      <c r="J49" s="117"/>
    </row>
  </sheetData>
  <mergeCells count="20">
    <mergeCell ref="C25:K25"/>
    <mergeCell ref="A5:A7"/>
    <mergeCell ref="A1:J1"/>
    <mergeCell ref="A3:A4"/>
    <mergeCell ref="B3:B4"/>
    <mergeCell ref="C3:D3"/>
    <mergeCell ref="F3:J3"/>
    <mergeCell ref="A8:A10"/>
    <mergeCell ref="A12:A15"/>
    <mergeCell ref="A16:A19"/>
    <mergeCell ref="A20:A23"/>
    <mergeCell ref="A25:A26"/>
    <mergeCell ref="B25:B26"/>
    <mergeCell ref="A47:J47"/>
    <mergeCell ref="A27:A29"/>
    <mergeCell ref="A35:A38"/>
    <mergeCell ref="A39:A42"/>
    <mergeCell ref="A43:A46"/>
    <mergeCell ref="J27:K46"/>
    <mergeCell ref="A30:A33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portrait" horizontalDpi="1200" verticalDpi="1200" r:id="rId1"/>
  <headerFooter>
    <oddFooter>Página &amp;P de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B865C-9C9A-4872-965F-12517D964879}">
  <dimension ref="A1:I36"/>
  <sheetViews>
    <sheetView topLeftCell="B2" workbookViewId="0">
      <selection activeCell="C37" sqref="C37"/>
    </sheetView>
  </sheetViews>
  <sheetFormatPr defaultColWidth="9.140625" defaultRowHeight="14.25" x14ac:dyDescent="0.2"/>
  <cols>
    <col min="1" max="1" width="20.42578125" style="2" customWidth="1"/>
    <col min="2" max="2" width="40.42578125" style="2" bestFit="1" customWidth="1"/>
    <col min="3" max="3" width="13.7109375" style="2" customWidth="1"/>
    <col min="4" max="4" width="13.42578125" style="2" customWidth="1"/>
    <col min="5" max="5" width="18.140625" style="2" bestFit="1" customWidth="1"/>
    <col min="6" max="6" width="9.42578125" style="2" customWidth="1"/>
    <col min="7" max="7" width="11.85546875" style="2" customWidth="1"/>
    <col min="8" max="8" width="12.28515625" style="2" bestFit="1" customWidth="1"/>
    <col min="9" max="16384" width="9.140625" style="2"/>
  </cols>
  <sheetData>
    <row r="1" spans="1:9" ht="15.75" x14ac:dyDescent="0.25">
      <c r="A1" s="647" t="s">
        <v>339</v>
      </c>
      <c r="B1" s="648"/>
      <c r="C1" s="648"/>
      <c r="D1" s="648"/>
      <c r="E1" s="648"/>
      <c r="F1" s="648"/>
      <c r="G1" s="648"/>
      <c r="H1" s="648"/>
      <c r="I1" s="648"/>
    </row>
    <row r="2" spans="1:9" x14ac:dyDescent="0.2">
      <c r="A2" s="452"/>
      <c r="B2" s="452"/>
      <c r="C2" s="452"/>
      <c r="D2" s="452"/>
      <c r="E2" s="452"/>
      <c r="F2" s="452"/>
      <c r="G2" s="452"/>
      <c r="H2" s="452"/>
    </row>
    <row r="3" spans="1:9" ht="14.45" customHeight="1" x14ac:dyDescent="0.2">
      <c r="A3" s="453" t="s">
        <v>340</v>
      </c>
      <c r="B3" s="454"/>
      <c r="C3" s="454"/>
      <c r="D3" s="454"/>
      <c r="E3" s="454"/>
      <c r="F3" s="454"/>
      <c r="G3" s="454"/>
      <c r="H3" s="454"/>
      <c r="I3" s="454"/>
    </row>
    <row r="4" spans="1:9" x14ac:dyDescent="0.2">
      <c r="A4" s="674" t="s">
        <v>341</v>
      </c>
      <c r="B4" s="675"/>
      <c r="C4" s="676" t="s">
        <v>46</v>
      </c>
      <c r="D4" s="677"/>
      <c r="E4" s="678"/>
      <c r="F4" s="676" t="s">
        <v>48</v>
      </c>
      <c r="G4" s="677"/>
      <c r="H4" s="677"/>
      <c r="I4" s="455" t="s">
        <v>84</v>
      </c>
    </row>
    <row r="5" spans="1:9" x14ac:dyDescent="0.2">
      <c r="A5" s="640" t="s">
        <v>140</v>
      </c>
      <c r="B5" s="641"/>
      <c r="C5" s="679"/>
      <c r="D5" s="680"/>
      <c r="E5" s="681"/>
      <c r="F5" s="658"/>
      <c r="G5" s="658"/>
      <c r="H5" s="658"/>
      <c r="I5" s="456"/>
    </row>
    <row r="6" spans="1:9" x14ac:dyDescent="0.2">
      <c r="A6" s="640" t="s">
        <v>141</v>
      </c>
      <c r="B6" s="641"/>
      <c r="C6" s="679"/>
      <c r="D6" s="680"/>
      <c r="E6" s="681"/>
      <c r="F6" s="658"/>
      <c r="G6" s="658"/>
      <c r="H6" s="658"/>
      <c r="I6" s="456"/>
    </row>
    <row r="7" spans="1:9" x14ac:dyDescent="0.2">
      <c r="A7" s="640" t="s">
        <v>142</v>
      </c>
      <c r="B7" s="641"/>
      <c r="C7" s="679"/>
      <c r="D7" s="680"/>
      <c r="E7" s="681"/>
      <c r="F7" s="658"/>
      <c r="G7" s="658"/>
      <c r="H7" s="658"/>
      <c r="I7" s="456"/>
    </row>
    <row r="8" spans="1:9" x14ac:dyDescent="0.2">
      <c r="A8" s="665" t="s">
        <v>342</v>
      </c>
      <c r="B8" s="666"/>
      <c r="C8" s="662">
        <v>0</v>
      </c>
      <c r="D8" s="663"/>
      <c r="E8" s="664"/>
      <c r="F8" s="659">
        <v>0</v>
      </c>
      <c r="G8" s="659"/>
      <c r="H8" s="659"/>
      <c r="I8" s="456">
        <v>0</v>
      </c>
    </row>
    <row r="9" spans="1:9" x14ac:dyDescent="0.2">
      <c r="A9" s="665" t="s">
        <v>266</v>
      </c>
      <c r="B9" s="666"/>
      <c r="C9" s="671"/>
      <c r="D9" s="672"/>
      <c r="E9" s="673"/>
      <c r="F9" s="667"/>
      <c r="G9" s="668"/>
      <c r="H9" s="691"/>
      <c r="I9" s="586"/>
    </row>
    <row r="10" spans="1:9" ht="15" thickBot="1" x14ac:dyDescent="0.25">
      <c r="A10" s="642" t="s">
        <v>229</v>
      </c>
      <c r="B10" s="643"/>
      <c r="C10" s="644">
        <f>ROUND((C8*C9),2)</f>
        <v>0</v>
      </c>
      <c r="D10" s="645"/>
      <c r="E10" s="646"/>
      <c r="F10" s="644">
        <f>ROUND((F8*F9),2)</f>
        <v>0</v>
      </c>
      <c r="G10" s="645"/>
      <c r="H10" s="646"/>
      <c r="I10" s="457">
        <f>ROUND((I8*I9),2)</f>
        <v>0</v>
      </c>
    </row>
    <row r="11" spans="1:9" ht="15" thickBot="1" x14ac:dyDescent="0.25">
      <c r="A11" s="452"/>
      <c r="B11" s="452"/>
      <c r="C11" s="452"/>
      <c r="D11" s="452"/>
      <c r="E11" s="452"/>
      <c r="F11" s="452"/>
      <c r="G11" s="452"/>
      <c r="H11" s="452"/>
    </row>
    <row r="12" spans="1:9" ht="14.45" customHeight="1" x14ac:dyDescent="0.2">
      <c r="A12" s="649" t="s">
        <v>527</v>
      </c>
      <c r="B12" s="650"/>
      <c r="C12" s="650"/>
      <c r="D12" s="650"/>
      <c r="E12" s="650"/>
      <c r="F12" s="650"/>
      <c r="G12" s="650"/>
      <c r="H12" s="650"/>
      <c r="I12" s="651"/>
    </row>
    <row r="13" spans="1:9" x14ac:dyDescent="0.2">
      <c r="A13" s="674" t="s">
        <v>343</v>
      </c>
      <c r="B13" s="675"/>
      <c r="C13" s="688" t="s">
        <v>68</v>
      </c>
      <c r="D13" s="689"/>
      <c r="E13" s="690"/>
      <c r="F13" s="688" t="s">
        <v>528</v>
      </c>
      <c r="G13" s="689"/>
      <c r="H13" s="690"/>
      <c r="I13" s="458"/>
    </row>
    <row r="14" spans="1:9" x14ac:dyDescent="0.2">
      <c r="A14" s="640" t="s">
        <v>140</v>
      </c>
      <c r="B14" s="641"/>
      <c r="C14" s="679"/>
      <c r="D14" s="680"/>
      <c r="E14" s="680"/>
      <c r="F14" s="679"/>
      <c r="G14" s="680"/>
      <c r="H14" s="680"/>
      <c r="I14" s="458"/>
    </row>
    <row r="15" spans="1:9" x14ac:dyDescent="0.2">
      <c r="A15" s="640" t="s">
        <v>141</v>
      </c>
      <c r="B15" s="641"/>
      <c r="C15" s="679"/>
      <c r="D15" s="680"/>
      <c r="E15" s="680"/>
      <c r="F15" s="679"/>
      <c r="G15" s="680"/>
      <c r="H15" s="680"/>
      <c r="I15" s="458"/>
    </row>
    <row r="16" spans="1:9" x14ac:dyDescent="0.2">
      <c r="A16" s="640" t="s">
        <v>142</v>
      </c>
      <c r="B16" s="641"/>
      <c r="C16" s="679"/>
      <c r="D16" s="680"/>
      <c r="E16" s="680"/>
      <c r="F16" s="679"/>
      <c r="G16" s="680"/>
      <c r="H16" s="680"/>
      <c r="I16" s="458"/>
    </row>
    <row r="17" spans="1:9" x14ac:dyDescent="0.2">
      <c r="A17" s="665" t="s">
        <v>344</v>
      </c>
      <c r="B17" s="666"/>
      <c r="C17" s="662">
        <v>0</v>
      </c>
      <c r="D17" s="663"/>
      <c r="E17" s="664"/>
      <c r="F17" s="679">
        <v>0</v>
      </c>
      <c r="G17" s="680"/>
      <c r="H17" s="680"/>
      <c r="I17" s="458"/>
    </row>
    <row r="18" spans="1:9" x14ac:dyDescent="0.2">
      <c r="A18" s="665" t="s">
        <v>266</v>
      </c>
      <c r="B18" s="666"/>
      <c r="C18" s="671"/>
      <c r="D18" s="672"/>
      <c r="E18" s="673"/>
      <c r="F18" s="679"/>
      <c r="G18" s="680"/>
      <c r="H18" s="680"/>
      <c r="I18" s="458"/>
    </row>
    <row r="19" spans="1:9" ht="15" thickBot="1" x14ac:dyDescent="0.25">
      <c r="A19" s="642" t="s">
        <v>229</v>
      </c>
      <c r="B19" s="643"/>
      <c r="C19" s="669">
        <f>ROUND((C17*C18),2)</f>
        <v>0</v>
      </c>
      <c r="D19" s="670"/>
      <c r="E19" s="670"/>
      <c r="F19" s="669">
        <f>ROUND((F17*F18),2)</f>
        <v>0</v>
      </c>
      <c r="G19" s="670"/>
      <c r="H19" s="670"/>
      <c r="I19" s="459"/>
    </row>
    <row r="20" spans="1:9" x14ac:dyDescent="0.2">
      <c r="A20" s="452"/>
      <c r="B20" s="452"/>
      <c r="C20" s="452"/>
      <c r="D20" s="452"/>
      <c r="E20" s="452"/>
      <c r="F20" s="452"/>
      <c r="G20" s="452"/>
      <c r="H20" s="452"/>
    </row>
    <row r="21" spans="1:9" ht="14.45" customHeight="1" x14ac:dyDescent="0.2">
      <c r="A21" s="652" t="s">
        <v>345</v>
      </c>
      <c r="B21" s="653"/>
      <c r="C21" s="653"/>
      <c r="D21" s="653"/>
      <c r="E21" s="653"/>
      <c r="F21" s="653"/>
      <c r="G21" s="653"/>
      <c r="H21" s="653"/>
      <c r="I21" s="653"/>
    </row>
    <row r="22" spans="1:9" x14ac:dyDescent="0.2">
      <c r="A22" s="640" t="s">
        <v>140</v>
      </c>
      <c r="B22" s="641"/>
      <c r="C22" s="685"/>
      <c r="D22" s="686"/>
      <c r="E22" s="686"/>
      <c r="F22" s="686"/>
      <c r="G22" s="686"/>
      <c r="H22" s="686"/>
      <c r="I22" s="687"/>
    </row>
    <row r="23" spans="1:9" x14ac:dyDescent="0.2">
      <c r="A23" s="640" t="s">
        <v>141</v>
      </c>
      <c r="B23" s="641"/>
      <c r="C23" s="658"/>
      <c r="D23" s="658"/>
      <c r="E23" s="658"/>
      <c r="F23" s="658"/>
      <c r="G23" s="658"/>
      <c r="H23" s="658"/>
      <c r="I23" s="658"/>
    </row>
    <row r="24" spans="1:9" x14ac:dyDescent="0.2">
      <c r="A24" s="640" t="s">
        <v>142</v>
      </c>
      <c r="B24" s="641"/>
      <c r="C24" s="658"/>
      <c r="D24" s="658"/>
      <c r="E24" s="658"/>
      <c r="F24" s="658"/>
      <c r="G24" s="658"/>
      <c r="H24" s="658"/>
      <c r="I24" s="658"/>
    </row>
    <row r="25" spans="1:9" x14ac:dyDescent="0.2">
      <c r="A25" s="640" t="s">
        <v>346</v>
      </c>
      <c r="B25" s="641"/>
      <c r="C25" s="682">
        <v>0</v>
      </c>
      <c r="D25" s="683"/>
      <c r="E25" s="683"/>
      <c r="F25" s="683"/>
      <c r="G25" s="683"/>
      <c r="H25" s="683"/>
      <c r="I25" s="684"/>
    </row>
    <row r="26" spans="1:9" x14ac:dyDescent="0.2">
      <c r="A26" s="665" t="s">
        <v>266</v>
      </c>
      <c r="B26" s="666"/>
      <c r="C26" s="667"/>
      <c r="D26" s="668"/>
      <c r="E26" s="668"/>
      <c r="F26" s="668"/>
      <c r="G26" s="668"/>
      <c r="H26" s="668"/>
    </row>
    <row r="27" spans="1:9" ht="15" customHeight="1" thickBot="1" x14ac:dyDescent="0.25">
      <c r="A27" s="642" t="s">
        <v>229</v>
      </c>
      <c r="B27" s="643"/>
      <c r="C27" s="654">
        <f>C26*C25</f>
        <v>0</v>
      </c>
      <c r="D27" s="655"/>
      <c r="E27" s="655"/>
      <c r="F27" s="655"/>
      <c r="G27" s="655"/>
      <c r="H27" s="655"/>
      <c r="I27" s="655"/>
    </row>
    <row r="28" spans="1:9" x14ac:dyDescent="0.2">
      <c r="A28" s="452"/>
      <c r="B28" s="452"/>
      <c r="C28" s="452"/>
      <c r="D28" s="452"/>
      <c r="E28" s="452"/>
      <c r="F28" s="452"/>
      <c r="G28" s="452"/>
      <c r="H28" s="452"/>
    </row>
    <row r="29" spans="1:9" ht="14.45" customHeight="1" x14ac:dyDescent="0.2">
      <c r="A29" s="652" t="s">
        <v>347</v>
      </c>
      <c r="B29" s="653"/>
      <c r="C29" s="653"/>
      <c r="D29" s="653"/>
      <c r="E29" s="653"/>
      <c r="F29" s="653"/>
      <c r="G29" s="653"/>
      <c r="H29" s="653"/>
      <c r="I29" s="653"/>
    </row>
    <row r="30" spans="1:9" x14ac:dyDescent="0.2">
      <c r="A30" s="674" t="s">
        <v>343</v>
      </c>
      <c r="B30" s="675"/>
      <c r="C30" s="676" t="s">
        <v>73</v>
      </c>
      <c r="D30" s="677"/>
      <c r="E30" s="678"/>
      <c r="F30" s="656" t="s">
        <v>75</v>
      </c>
      <c r="G30" s="657"/>
      <c r="H30" s="657"/>
      <c r="I30" s="657"/>
    </row>
    <row r="31" spans="1:9" x14ac:dyDescent="0.2">
      <c r="A31" s="640" t="s">
        <v>140</v>
      </c>
      <c r="B31" s="641"/>
      <c r="C31" s="679"/>
      <c r="D31" s="680"/>
      <c r="E31" s="681"/>
      <c r="F31" s="658"/>
      <c r="G31" s="658"/>
      <c r="H31" s="658"/>
      <c r="I31" s="658"/>
    </row>
    <row r="32" spans="1:9" x14ac:dyDescent="0.2">
      <c r="A32" s="640" t="s">
        <v>141</v>
      </c>
      <c r="B32" s="641"/>
      <c r="C32" s="679"/>
      <c r="D32" s="680"/>
      <c r="E32" s="681"/>
      <c r="F32" s="658"/>
      <c r="G32" s="658"/>
      <c r="H32" s="658"/>
      <c r="I32" s="658"/>
    </row>
    <row r="33" spans="1:9" x14ac:dyDescent="0.2">
      <c r="A33" s="640" t="s">
        <v>142</v>
      </c>
      <c r="B33" s="641"/>
      <c r="C33" s="679"/>
      <c r="D33" s="680"/>
      <c r="E33" s="681"/>
      <c r="F33" s="658"/>
      <c r="G33" s="658"/>
      <c r="H33" s="658"/>
      <c r="I33" s="658"/>
    </row>
    <row r="34" spans="1:9" x14ac:dyDescent="0.2">
      <c r="A34" s="665" t="s">
        <v>348</v>
      </c>
      <c r="B34" s="666"/>
      <c r="C34" s="662"/>
      <c r="D34" s="663"/>
      <c r="E34" s="664"/>
      <c r="F34" s="659"/>
      <c r="G34" s="659"/>
      <c r="H34" s="659"/>
      <c r="I34" s="659"/>
    </row>
    <row r="35" spans="1:9" x14ac:dyDescent="0.2">
      <c r="A35" s="665" t="s">
        <v>266</v>
      </c>
      <c r="B35" s="666"/>
      <c r="C35" s="671"/>
      <c r="D35" s="672"/>
      <c r="E35" s="673"/>
      <c r="F35" s="660"/>
      <c r="G35" s="661"/>
      <c r="H35" s="661"/>
      <c r="I35" s="661"/>
    </row>
    <row r="36" spans="1:9" ht="15" customHeight="1" thickBot="1" x14ac:dyDescent="0.25">
      <c r="A36" s="642" t="s">
        <v>229</v>
      </c>
      <c r="B36" s="643"/>
      <c r="C36" s="644">
        <f>ROUND((C35*C34),2)</f>
        <v>0</v>
      </c>
      <c r="D36" s="645"/>
      <c r="E36" s="646"/>
      <c r="F36" s="654">
        <f>F35*F34</f>
        <v>0</v>
      </c>
      <c r="G36" s="655"/>
      <c r="H36" s="655"/>
      <c r="I36" s="655"/>
    </row>
  </sheetData>
  <mergeCells count="79">
    <mergeCell ref="A9:B9"/>
    <mergeCell ref="C9:E9"/>
    <mergeCell ref="F9:H9"/>
    <mergeCell ref="A4:B4"/>
    <mergeCell ref="C4:E4"/>
    <mergeCell ref="F4:H4"/>
    <mergeCell ref="A5:B5"/>
    <mergeCell ref="C5:E5"/>
    <mergeCell ref="F5:H5"/>
    <mergeCell ref="A6:B6"/>
    <mergeCell ref="C6:E6"/>
    <mergeCell ref="F6:H6"/>
    <mergeCell ref="A7:B7"/>
    <mergeCell ref="C7:E7"/>
    <mergeCell ref="F7:H7"/>
    <mergeCell ref="A8:B8"/>
    <mergeCell ref="C8:E8"/>
    <mergeCell ref="F8:H8"/>
    <mergeCell ref="A17:B17"/>
    <mergeCell ref="C17:E17"/>
    <mergeCell ref="F17:H17"/>
    <mergeCell ref="A10:B10"/>
    <mergeCell ref="C10:E10"/>
    <mergeCell ref="F10:H10"/>
    <mergeCell ref="A13:B13"/>
    <mergeCell ref="C13:E13"/>
    <mergeCell ref="F13:H13"/>
    <mergeCell ref="A14:B14"/>
    <mergeCell ref="C14:E14"/>
    <mergeCell ref="F14:H14"/>
    <mergeCell ref="A15:B15"/>
    <mergeCell ref="C15:E15"/>
    <mergeCell ref="F15:H15"/>
    <mergeCell ref="A16:B16"/>
    <mergeCell ref="C16:E16"/>
    <mergeCell ref="F16:H16"/>
    <mergeCell ref="A18:B18"/>
    <mergeCell ref="C18:E18"/>
    <mergeCell ref="F18:H18"/>
    <mergeCell ref="A19:B19"/>
    <mergeCell ref="C19:E19"/>
    <mergeCell ref="F19:H19"/>
    <mergeCell ref="A35:B35"/>
    <mergeCell ref="C35:E35"/>
    <mergeCell ref="A30:B30"/>
    <mergeCell ref="C30:E30"/>
    <mergeCell ref="A31:B31"/>
    <mergeCell ref="C31:E31"/>
    <mergeCell ref="A32:B32"/>
    <mergeCell ref="C32:E32"/>
    <mergeCell ref="C25:I25"/>
    <mergeCell ref="C22:I22"/>
    <mergeCell ref="A33:B33"/>
    <mergeCell ref="C33:E33"/>
    <mergeCell ref="A34:B34"/>
    <mergeCell ref="C34:E34"/>
    <mergeCell ref="A23:B23"/>
    <mergeCell ref="A24:B24"/>
    <mergeCell ref="A25:B25"/>
    <mergeCell ref="A26:B26"/>
    <mergeCell ref="C26:H26"/>
    <mergeCell ref="A27:B27"/>
    <mergeCell ref="C24:I24"/>
    <mergeCell ref="A22:B22"/>
    <mergeCell ref="A36:B36"/>
    <mergeCell ref="C36:E36"/>
    <mergeCell ref="A1:I1"/>
    <mergeCell ref="A12:I12"/>
    <mergeCell ref="A21:I21"/>
    <mergeCell ref="C27:I27"/>
    <mergeCell ref="A29:I29"/>
    <mergeCell ref="F36:I36"/>
    <mergeCell ref="F30:I30"/>
    <mergeCell ref="F31:I31"/>
    <mergeCell ref="F32:I32"/>
    <mergeCell ref="F33:I33"/>
    <mergeCell ref="F34:I34"/>
    <mergeCell ref="F35:I35"/>
    <mergeCell ref="C23:I23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  <headerFooter>
    <oddFooter>Página &amp;P de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9D2F0-3DDA-4E72-941B-8A32788701C7}">
  <dimension ref="A1:J48"/>
  <sheetViews>
    <sheetView topLeftCell="A31" workbookViewId="0">
      <selection activeCell="D51" sqref="D51"/>
    </sheetView>
  </sheetViews>
  <sheetFormatPr defaultColWidth="9.140625" defaultRowHeight="15" x14ac:dyDescent="0.2"/>
  <cols>
    <col min="1" max="1" width="10.85546875" style="45" customWidth="1"/>
    <col min="2" max="2" width="22.7109375" style="45" bestFit="1" customWidth="1"/>
    <col min="3" max="9" width="12.28515625" style="45" bestFit="1" customWidth="1"/>
    <col min="10" max="10" width="13.42578125" style="45" customWidth="1"/>
    <col min="11" max="16384" width="9.140625" style="45"/>
  </cols>
  <sheetData>
    <row r="1" spans="1:10" ht="16.5" thickBot="1" x14ac:dyDescent="0.3">
      <c r="A1" s="635" t="s">
        <v>135</v>
      </c>
      <c r="B1" s="636"/>
      <c r="C1" s="636"/>
      <c r="D1" s="636"/>
      <c r="E1" s="636"/>
      <c r="F1" s="636"/>
      <c r="G1" s="636"/>
      <c r="H1" s="636"/>
      <c r="I1" s="636"/>
      <c r="J1" s="637"/>
    </row>
    <row r="2" spans="1:10" ht="15.75" thickBot="1" x14ac:dyDescent="0.25">
      <c r="A2" s="46"/>
      <c r="B2" s="46"/>
      <c r="C2" s="46"/>
      <c r="D2" s="46"/>
      <c r="E2" s="46"/>
      <c r="F2" s="46"/>
      <c r="G2" s="46"/>
      <c r="H2" s="46"/>
      <c r="I2" s="46"/>
      <c r="J2" s="46"/>
    </row>
    <row r="3" spans="1:10" x14ac:dyDescent="0.2">
      <c r="A3" s="701" t="s">
        <v>88</v>
      </c>
      <c r="B3" s="699" t="s">
        <v>89</v>
      </c>
      <c r="C3" s="703" t="s">
        <v>90</v>
      </c>
      <c r="D3" s="703"/>
      <c r="E3" s="111"/>
      <c r="F3" s="703" t="s">
        <v>91</v>
      </c>
      <c r="G3" s="703"/>
      <c r="H3" s="703"/>
      <c r="I3" s="703"/>
      <c r="J3" s="704"/>
    </row>
    <row r="4" spans="1:10" ht="15.75" thickBot="1" x14ac:dyDescent="0.25">
      <c r="A4" s="702"/>
      <c r="B4" s="700"/>
      <c r="C4" s="48" t="s">
        <v>92</v>
      </c>
      <c r="D4" s="48" t="s">
        <v>93</v>
      </c>
      <c r="E4" s="112"/>
      <c r="F4" s="48" t="s">
        <v>94</v>
      </c>
      <c r="G4" s="48" t="s">
        <v>95</v>
      </c>
      <c r="H4" s="48" t="s">
        <v>96</v>
      </c>
      <c r="I4" s="48" t="s">
        <v>97</v>
      </c>
      <c r="J4" s="49" t="s">
        <v>98</v>
      </c>
    </row>
    <row r="5" spans="1:10" x14ac:dyDescent="0.2">
      <c r="A5" s="695" t="s">
        <v>100</v>
      </c>
      <c r="B5" s="50" t="s">
        <v>101</v>
      </c>
      <c r="C5" s="51"/>
      <c r="D5" s="52"/>
      <c r="E5" s="53"/>
      <c r="F5" s="52"/>
      <c r="G5" s="52"/>
      <c r="H5" s="52"/>
      <c r="I5" s="52"/>
      <c r="J5" s="54"/>
    </row>
    <row r="6" spans="1:10" x14ac:dyDescent="0.2">
      <c r="A6" s="696"/>
      <c r="B6" s="55" t="s">
        <v>102</v>
      </c>
      <c r="C6" s="56"/>
      <c r="D6" s="57"/>
      <c r="E6" s="58"/>
      <c r="F6" s="57"/>
      <c r="G6" s="57"/>
      <c r="H6" s="57"/>
      <c r="I6" s="57"/>
      <c r="J6" s="59"/>
    </row>
    <row r="7" spans="1:10" x14ac:dyDescent="0.2">
      <c r="A7" s="696"/>
      <c r="B7" s="55" t="s">
        <v>103</v>
      </c>
      <c r="C7" s="60" t="s">
        <v>104</v>
      </c>
      <c r="D7" s="60" t="s">
        <v>104</v>
      </c>
      <c r="E7" s="58"/>
      <c r="F7" s="57"/>
      <c r="G7" s="57"/>
      <c r="H7" s="57"/>
      <c r="I7" s="57"/>
      <c r="J7" s="59"/>
    </row>
    <row r="8" spans="1:10" x14ac:dyDescent="0.2">
      <c r="A8" s="696" t="s">
        <v>106</v>
      </c>
      <c r="B8" s="55" t="s">
        <v>107</v>
      </c>
      <c r="C8" s="57"/>
      <c r="D8" s="57"/>
      <c r="E8" s="58"/>
      <c r="F8" s="61"/>
      <c r="G8" s="57"/>
      <c r="H8" s="57"/>
      <c r="I8" s="57"/>
      <c r="J8" s="59"/>
    </row>
    <row r="9" spans="1:10" x14ac:dyDescent="0.2">
      <c r="A9" s="696"/>
      <c r="B9" s="55" t="s">
        <v>108</v>
      </c>
      <c r="C9" s="57"/>
      <c r="D9" s="57"/>
      <c r="E9" s="58"/>
      <c r="F9" s="56"/>
      <c r="G9" s="56"/>
      <c r="H9" s="56"/>
      <c r="I9" s="62" t="s">
        <v>109</v>
      </c>
      <c r="J9" s="63"/>
    </row>
    <row r="10" spans="1:10" x14ac:dyDescent="0.2">
      <c r="A10" s="696"/>
      <c r="B10" s="55" t="s">
        <v>110</v>
      </c>
      <c r="C10" s="57"/>
      <c r="D10" s="57"/>
      <c r="E10" s="58"/>
      <c r="F10" s="60" t="s">
        <v>111</v>
      </c>
      <c r="G10" s="60" t="s">
        <v>111</v>
      </c>
      <c r="H10" s="60" t="s">
        <v>111</v>
      </c>
      <c r="I10" s="60" t="s">
        <v>111</v>
      </c>
      <c r="J10" s="64" t="s">
        <v>111</v>
      </c>
    </row>
    <row r="11" spans="1:10" ht="15.75" thickBot="1" x14ac:dyDescent="0.25">
      <c r="A11" s="65" t="s">
        <v>112</v>
      </c>
      <c r="B11" s="66" t="s">
        <v>113</v>
      </c>
      <c r="C11" s="67"/>
      <c r="D11" s="67"/>
      <c r="E11" s="68"/>
      <c r="F11" s="69"/>
      <c r="G11" s="69"/>
      <c r="H11" s="69"/>
      <c r="I11" s="69"/>
      <c r="J11" s="70"/>
    </row>
    <row r="12" spans="1:10" x14ac:dyDescent="0.2">
      <c r="A12" s="697" t="s">
        <v>114</v>
      </c>
      <c r="B12" s="71" t="s">
        <v>115</v>
      </c>
      <c r="C12" s="72" t="e">
        <f>('COMPOSIÇÃO DE CUSTOS - LOTE 3_'!F6+'COMPOSIÇÃO DE CUSTOS - LOTE 3_'!F7+'COMPOSIÇÃO DE CUSTOS - LOTE 3_'!F8+'COMPOSIÇÃO DE CUSTOS - LOTE 3_'!F9+'COMPOSIÇÃO DE CUSTOS - LOTE 3_'!F19+'COMPOSIÇÃO DE CUSTOS - LOTE 3_'!F22)*6</f>
        <v>#DIV/0!</v>
      </c>
      <c r="D12" s="72" t="e">
        <f>('COMPOSIÇÃO DE CUSTOS - LOTE 3_'!F6+'COMPOSIÇÃO DE CUSTOS - LOTE 3_'!F7+'COMPOSIÇÃO DE CUSTOS - LOTE 3_'!F8+'COMPOSIÇÃO DE CUSTOS - LOTE 3_'!F9+'COMPOSIÇÃO DE CUSTOS - LOTE 3_'!F19+'COMPOSIÇÃO DE CUSTOS - LOTE 3_'!F22)*6</f>
        <v>#DIV/0!</v>
      </c>
      <c r="E12" s="73"/>
      <c r="F12" s="72" t="e">
        <f>('COMPOSIÇÃO DE CUSTOS - LOTE 3_'!F6+'COMPOSIÇÃO DE CUSTOS - LOTE 3_'!F7+'COMPOSIÇÃO DE CUSTOS - LOTE 3_'!F8+'COMPOSIÇÃO DE CUSTOS - LOTE 3_'!F9+'COMPOSIÇÃO DE CUSTOS - LOTE 3_'!F19+'COMPOSIÇÃO DE CUSTOS - LOTE 3_'!F22)*6</f>
        <v>#DIV/0!</v>
      </c>
      <c r="G12" s="72" t="e">
        <f>SUM('COMPOSIÇÃO DE CUSTOS - LOTE 3_'!F6:F17,'COMPOSIÇÃO DE CUSTOS - LOTE 3_'!F19:F23)*6</f>
        <v>#DIV/0!</v>
      </c>
      <c r="H12" s="72" t="e">
        <f>SUM('COMPOSIÇÃO DE CUSTOS - LOTE 3_'!F6:F17,'COMPOSIÇÃO DE CUSTOS - LOTE 3_'!F19:F23)*6</f>
        <v>#DIV/0!</v>
      </c>
      <c r="I12" s="72" t="e">
        <f>SUM('COMPOSIÇÃO DE CUSTOS - LOTE 3_'!F6:F17,'COMPOSIÇÃO DE CUSTOS - LOTE 3_'!F19:F23)*6</f>
        <v>#DIV/0!</v>
      </c>
      <c r="J12" s="74" t="e">
        <f>SUM('COMPOSIÇÃO DE CUSTOS - LOTE 3_'!F6:F17,'COMPOSIÇÃO DE CUSTOS - LOTE 3_'!F19:F23)*6</f>
        <v>#DIV/0!</v>
      </c>
    </row>
    <row r="13" spans="1:10" x14ac:dyDescent="0.2">
      <c r="A13" s="698"/>
      <c r="B13" s="75" t="s">
        <v>116</v>
      </c>
      <c r="C13" s="76" t="e">
        <f>C12/$J$44</f>
        <v>#DIV/0!</v>
      </c>
      <c r="D13" s="76" t="e">
        <f>D12/$J$44</f>
        <v>#DIV/0!</v>
      </c>
      <c r="E13" s="76"/>
      <c r="F13" s="76" t="e">
        <f>F12/$J$44</f>
        <v>#DIV/0!</v>
      </c>
      <c r="G13" s="76" t="e">
        <f>G12/$J$44</f>
        <v>#DIV/0!</v>
      </c>
      <c r="H13" s="76" t="e">
        <f>H12/$J$44</f>
        <v>#DIV/0!</v>
      </c>
      <c r="I13" s="76" t="e">
        <f>I12/$J$44</f>
        <v>#DIV/0!</v>
      </c>
      <c r="J13" s="77" t="e">
        <f>J12/$J$44</f>
        <v>#DIV/0!</v>
      </c>
    </row>
    <row r="14" spans="1:10" x14ac:dyDescent="0.2">
      <c r="A14" s="698"/>
      <c r="B14" s="78" t="s">
        <v>117</v>
      </c>
      <c r="C14" s="79" t="e">
        <f>C12</f>
        <v>#DIV/0!</v>
      </c>
      <c r="D14" s="79" t="e">
        <f>D12+C14</f>
        <v>#DIV/0!</v>
      </c>
      <c r="E14" s="80"/>
      <c r="F14" s="79" t="e">
        <f>F12+D14</f>
        <v>#DIV/0!</v>
      </c>
      <c r="G14" s="79" t="e">
        <f>G12+F14</f>
        <v>#DIV/0!</v>
      </c>
      <c r="H14" s="79" t="e">
        <f t="shared" ref="H14:J15" si="0">H12+G14</f>
        <v>#DIV/0!</v>
      </c>
      <c r="I14" s="79" t="e">
        <f t="shared" si="0"/>
        <v>#DIV/0!</v>
      </c>
      <c r="J14" s="81" t="e">
        <f t="shared" si="0"/>
        <v>#DIV/0!</v>
      </c>
    </row>
    <row r="15" spans="1:10" x14ac:dyDescent="0.2">
      <c r="A15" s="698"/>
      <c r="B15" s="75" t="s">
        <v>118</v>
      </c>
      <c r="C15" s="76" t="e">
        <f>C13</f>
        <v>#DIV/0!</v>
      </c>
      <c r="D15" s="76" t="e">
        <f>D13+C15</f>
        <v>#DIV/0!</v>
      </c>
      <c r="E15" s="82"/>
      <c r="F15" s="76" t="e">
        <f>F13+D15</f>
        <v>#DIV/0!</v>
      </c>
      <c r="G15" s="76" t="e">
        <f>G13+F15</f>
        <v>#DIV/0!</v>
      </c>
      <c r="H15" s="76" t="e">
        <f t="shared" si="0"/>
        <v>#DIV/0!</v>
      </c>
      <c r="I15" s="76" t="e">
        <f t="shared" si="0"/>
        <v>#DIV/0!</v>
      </c>
      <c r="J15" s="77" t="e">
        <f t="shared" si="0"/>
        <v>#DIV/0!</v>
      </c>
    </row>
    <row r="16" spans="1:10" x14ac:dyDescent="0.2">
      <c r="A16" s="705" t="s">
        <v>119</v>
      </c>
      <c r="B16" s="83" t="s">
        <v>120</v>
      </c>
      <c r="C16" s="84">
        <v>0</v>
      </c>
      <c r="D16" s="84">
        <v>0</v>
      </c>
      <c r="E16" s="85"/>
      <c r="F16" s="84">
        <v>0</v>
      </c>
      <c r="G16" s="84" t="e">
        <f>'COMPOSIÇÃO DE CUSTOS - LOTE 3_'!I43/12</f>
        <v>#REF!</v>
      </c>
      <c r="H16" s="84" t="e">
        <f>'COMPOSIÇÃO DE CUSTOS - LOTE 3_'!I43/12</f>
        <v>#REF!</v>
      </c>
      <c r="I16" s="84" t="e">
        <f>'COMPOSIÇÃO DE CUSTOS - LOTE 3_'!I43/12</f>
        <v>#REF!</v>
      </c>
      <c r="J16" s="86" t="e">
        <f>'COMPOSIÇÃO DE CUSTOS - LOTE 3_'!I43/12</f>
        <v>#REF!</v>
      </c>
    </row>
    <row r="17" spans="1:10" x14ac:dyDescent="0.2">
      <c r="A17" s="705"/>
      <c r="B17" s="87" t="s">
        <v>116</v>
      </c>
      <c r="C17" s="88" t="e">
        <f>C16/$J$44</f>
        <v>#DIV/0!</v>
      </c>
      <c r="D17" s="88" t="e">
        <f>D16/$J$44</f>
        <v>#DIV/0!</v>
      </c>
      <c r="E17" s="89"/>
      <c r="F17" s="88" t="e">
        <f>F16/$J$44</f>
        <v>#DIV/0!</v>
      </c>
      <c r="G17" s="88" t="e">
        <f>G16/$J$44</f>
        <v>#REF!</v>
      </c>
      <c r="H17" s="88" t="e">
        <f>H16/$J$44</f>
        <v>#REF!</v>
      </c>
      <c r="I17" s="88" t="e">
        <f>I16/$J$44</f>
        <v>#REF!</v>
      </c>
      <c r="J17" s="90" t="e">
        <f>J16/$J$44</f>
        <v>#REF!</v>
      </c>
    </row>
    <row r="18" spans="1:10" x14ac:dyDescent="0.2">
      <c r="A18" s="705"/>
      <c r="B18" s="83" t="s">
        <v>117</v>
      </c>
      <c r="C18" s="84">
        <f>C16</f>
        <v>0</v>
      </c>
      <c r="D18" s="84">
        <f>D16+C18</f>
        <v>0</v>
      </c>
      <c r="E18" s="91"/>
      <c r="F18" s="84">
        <f>F16+D18</f>
        <v>0</v>
      </c>
      <c r="G18" s="84" t="e">
        <f>G16+F18</f>
        <v>#REF!</v>
      </c>
      <c r="H18" s="84" t="e">
        <f t="shared" ref="H18:J19" si="1">H16+G18</f>
        <v>#REF!</v>
      </c>
      <c r="I18" s="84" t="e">
        <f t="shared" si="1"/>
        <v>#REF!</v>
      </c>
      <c r="J18" s="86" t="e">
        <f t="shared" si="1"/>
        <v>#REF!</v>
      </c>
    </row>
    <row r="19" spans="1:10" x14ac:dyDescent="0.2">
      <c r="A19" s="705"/>
      <c r="B19" s="87" t="s">
        <v>118</v>
      </c>
      <c r="C19" s="88" t="e">
        <f>C17</f>
        <v>#DIV/0!</v>
      </c>
      <c r="D19" s="88" t="e">
        <f>D17+C19</f>
        <v>#DIV/0!</v>
      </c>
      <c r="E19" s="88"/>
      <c r="F19" s="88" t="e">
        <f>F17+D19</f>
        <v>#DIV/0!</v>
      </c>
      <c r="G19" s="88" t="e">
        <f>G17+F19</f>
        <v>#REF!</v>
      </c>
      <c r="H19" s="88" t="e">
        <f t="shared" si="1"/>
        <v>#REF!</v>
      </c>
      <c r="I19" s="88" t="e">
        <f t="shared" si="1"/>
        <v>#REF!</v>
      </c>
      <c r="J19" s="90" t="e">
        <f t="shared" si="1"/>
        <v>#REF!</v>
      </c>
    </row>
    <row r="20" spans="1:10" x14ac:dyDescent="0.2">
      <c r="A20" s="706" t="s">
        <v>121</v>
      </c>
      <c r="B20" s="92" t="s">
        <v>115</v>
      </c>
      <c r="C20" s="93" t="e">
        <f>C12+C16</f>
        <v>#DIV/0!</v>
      </c>
      <c r="D20" s="93" t="e">
        <f t="shared" ref="D20:J20" si="2">D12+D16</f>
        <v>#DIV/0!</v>
      </c>
      <c r="E20" s="94"/>
      <c r="F20" s="93" t="e">
        <f t="shared" si="2"/>
        <v>#DIV/0!</v>
      </c>
      <c r="G20" s="93" t="e">
        <f t="shared" si="2"/>
        <v>#DIV/0!</v>
      </c>
      <c r="H20" s="93" t="e">
        <f t="shared" si="2"/>
        <v>#DIV/0!</v>
      </c>
      <c r="I20" s="93" t="e">
        <f t="shared" si="2"/>
        <v>#DIV/0!</v>
      </c>
      <c r="J20" s="95" t="e">
        <f t="shared" si="2"/>
        <v>#DIV/0!</v>
      </c>
    </row>
    <row r="21" spans="1:10" x14ac:dyDescent="0.2">
      <c r="A21" s="706"/>
      <c r="B21" s="96" t="s">
        <v>116</v>
      </c>
      <c r="C21" s="97" t="e">
        <f>C20/$J$44</f>
        <v>#DIV/0!</v>
      </c>
      <c r="D21" s="97" t="e">
        <f>D20/$J$44</f>
        <v>#DIV/0!</v>
      </c>
      <c r="E21" s="97"/>
      <c r="F21" s="97" t="e">
        <f>F20/$J$44</f>
        <v>#DIV/0!</v>
      </c>
      <c r="G21" s="97" t="e">
        <f>G20/$J$44</f>
        <v>#DIV/0!</v>
      </c>
      <c r="H21" s="97" t="e">
        <f>H20/$J$44</f>
        <v>#DIV/0!</v>
      </c>
      <c r="I21" s="97" t="e">
        <f>I20/$J$44</f>
        <v>#DIV/0!</v>
      </c>
      <c r="J21" s="98" t="e">
        <f>J20/$J$44</f>
        <v>#DIV/0!</v>
      </c>
    </row>
    <row r="22" spans="1:10" x14ac:dyDescent="0.2">
      <c r="A22" s="706"/>
      <c r="B22" s="92" t="s">
        <v>117</v>
      </c>
      <c r="C22" s="93" t="e">
        <f>C20</f>
        <v>#DIV/0!</v>
      </c>
      <c r="D22" s="93" t="e">
        <f>D20+C22</f>
        <v>#DIV/0!</v>
      </c>
      <c r="E22" s="94"/>
      <c r="F22" s="93" t="e">
        <f>F20+D22</f>
        <v>#DIV/0!</v>
      </c>
      <c r="G22" s="93" t="e">
        <f>G20+F22</f>
        <v>#DIV/0!</v>
      </c>
      <c r="H22" s="93" t="e">
        <f t="shared" ref="H22:J23" si="3">H20+G22</f>
        <v>#DIV/0!</v>
      </c>
      <c r="I22" s="93" t="e">
        <f t="shared" si="3"/>
        <v>#DIV/0!</v>
      </c>
      <c r="J22" s="95" t="e">
        <f t="shared" si="3"/>
        <v>#DIV/0!</v>
      </c>
    </row>
    <row r="23" spans="1:10" ht="15.75" thickBot="1" x14ac:dyDescent="0.25">
      <c r="A23" s="707"/>
      <c r="B23" s="99" t="s">
        <v>118</v>
      </c>
      <c r="C23" s="100" t="e">
        <f>C22/$J$44</f>
        <v>#DIV/0!</v>
      </c>
      <c r="D23" s="100" t="e">
        <f>D21+C23</f>
        <v>#DIV/0!</v>
      </c>
      <c r="E23" s="101"/>
      <c r="F23" s="100" t="e">
        <f>F21+D23</f>
        <v>#DIV/0!</v>
      </c>
      <c r="G23" s="100" t="e">
        <f>G21+F23</f>
        <v>#DIV/0!</v>
      </c>
      <c r="H23" s="100" t="e">
        <f t="shared" si="3"/>
        <v>#DIV/0!</v>
      </c>
      <c r="I23" s="100" t="e">
        <f t="shared" si="3"/>
        <v>#DIV/0!</v>
      </c>
      <c r="J23" s="102" t="e">
        <f t="shared" si="3"/>
        <v>#DIV/0!</v>
      </c>
    </row>
    <row r="24" spans="1:10" ht="15.75" thickBot="1" x14ac:dyDescent="0.25">
      <c r="A24" s="113"/>
      <c r="B24" s="114"/>
      <c r="C24" s="115"/>
      <c r="D24" s="115"/>
      <c r="E24" s="116"/>
      <c r="F24" s="115"/>
      <c r="G24" s="115"/>
      <c r="H24" s="115"/>
      <c r="I24" s="115"/>
      <c r="J24" s="115"/>
    </row>
    <row r="25" spans="1:10" x14ac:dyDescent="0.2">
      <c r="A25" s="701" t="s">
        <v>88</v>
      </c>
      <c r="B25" s="699" t="s">
        <v>89</v>
      </c>
      <c r="C25" s="693" t="s">
        <v>91</v>
      </c>
      <c r="D25" s="693"/>
      <c r="E25" s="693"/>
      <c r="F25" s="693"/>
      <c r="G25" s="693"/>
      <c r="H25" s="693"/>
      <c r="I25" s="693"/>
      <c r="J25" s="694"/>
    </row>
    <row r="26" spans="1:10" ht="15.75" thickBot="1" x14ac:dyDescent="0.25">
      <c r="A26" s="702"/>
      <c r="B26" s="700"/>
      <c r="C26" s="48" t="s">
        <v>99</v>
      </c>
      <c r="D26" s="48" t="s">
        <v>122</v>
      </c>
      <c r="E26" s="48" t="s">
        <v>123</v>
      </c>
      <c r="F26" s="48" t="s">
        <v>124</v>
      </c>
      <c r="G26" s="48" t="s">
        <v>125</v>
      </c>
      <c r="H26" s="48" t="s">
        <v>126</v>
      </c>
      <c r="I26" s="48" t="s">
        <v>127</v>
      </c>
      <c r="J26" s="49" t="s">
        <v>128</v>
      </c>
    </row>
    <row r="27" spans="1:10" x14ac:dyDescent="0.2">
      <c r="A27" s="695" t="s">
        <v>100</v>
      </c>
      <c r="B27" s="50" t="s">
        <v>101</v>
      </c>
      <c r="C27" s="52"/>
      <c r="D27" s="52"/>
      <c r="E27" s="53"/>
      <c r="F27" s="52"/>
      <c r="G27" s="52"/>
      <c r="H27" s="52"/>
      <c r="I27" s="52"/>
      <c r="J27" s="54"/>
    </row>
    <row r="28" spans="1:10" x14ac:dyDescent="0.2">
      <c r="A28" s="696"/>
      <c r="B28" s="55" t="s">
        <v>102</v>
      </c>
      <c r="C28" s="57"/>
      <c r="D28" s="57"/>
      <c r="E28" s="58"/>
      <c r="F28" s="57"/>
      <c r="G28" s="57"/>
      <c r="H28" s="57"/>
      <c r="I28" s="57"/>
      <c r="J28" s="59"/>
    </row>
    <row r="29" spans="1:10" x14ac:dyDescent="0.2">
      <c r="A29" s="696"/>
      <c r="B29" s="55" t="s">
        <v>103</v>
      </c>
      <c r="C29" s="62" t="s">
        <v>105</v>
      </c>
      <c r="D29" s="161"/>
      <c r="E29" s="58"/>
      <c r="F29" s="161"/>
      <c r="G29" s="161"/>
      <c r="H29" s="161"/>
      <c r="I29" s="62" t="s">
        <v>105</v>
      </c>
      <c r="J29" s="59"/>
    </row>
    <row r="30" spans="1:10" x14ac:dyDescent="0.2">
      <c r="A30" s="696" t="s">
        <v>106</v>
      </c>
      <c r="B30" s="55" t="s">
        <v>107</v>
      </c>
      <c r="C30" s="161"/>
      <c r="D30" s="161"/>
      <c r="E30" s="58"/>
      <c r="F30" s="161"/>
      <c r="G30" s="161"/>
      <c r="H30" s="161"/>
      <c r="I30" s="161"/>
      <c r="J30" s="59"/>
    </row>
    <row r="31" spans="1:10" x14ac:dyDescent="0.2">
      <c r="A31" s="696"/>
      <c r="B31" s="55" t="s">
        <v>108</v>
      </c>
      <c r="C31" s="56"/>
      <c r="D31" s="62" t="s">
        <v>109</v>
      </c>
      <c r="E31" s="103"/>
      <c r="F31" s="56"/>
      <c r="G31" s="62" t="s">
        <v>109</v>
      </c>
      <c r="H31" s="56"/>
      <c r="I31" s="56"/>
      <c r="J31" s="105" t="s">
        <v>109</v>
      </c>
    </row>
    <row r="32" spans="1:10" x14ac:dyDescent="0.2">
      <c r="A32" s="696"/>
      <c r="B32" s="55" t="s">
        <v>110</v>
      </c>
      <c r="C32" s="60" t="s">
        <v>111</v>
      </c>
      <c r="D32" s="60" t="s">
        <v>111</v>
      </c>
      <c r="E32" s="60" t="s">
        <v>111</v>
      </c>
      <c r="F32" s="60" t="s">
        <v>111</v>
      </c>
      <c r="G32" s="60" t="s">
        <v>111</v>
      </c>
      <c r="H32" s="60" t="s">
        <v>111</v>
      </c>
      <c r="I32" s="60" t="s">
        <v>111</v>
      </c>
      <c r="J32" s="64" t="s">
        <v>111</v>
      </c>
    </row>
    <row r="33" spans="1:10" ht="15.75" thickBot="1" x14ac:dyDescent="0.25">
      <c r="A33" s="65" t="s">
        <v>112</v>
      </c>
      <c r="B33" s="66" t="s">
        <v>113</v>
      </c>
      <c r="C33" s="69"/>
      <c r="D33" s="69"/>
      <c r="E33" s="69"/>
      <c r="F33" s="69"/>
      <c r="G33" s="69"/>
      <c r="H33" s="69"/>
      <c r="I33" s="69"/>
      <c r="J33" s="70"/>
    </row>
    <row r="34" spans="1:10" ht="15" customHeight="1" x14ac:dyDescent="0.2">
      <c r="A34" s="697" t="s">
        <v>114</v>
      </c>
      <c r="B34" s="71" t="s">
        <v>115</v>
      </c>
      <c r="C34" s="72" t="e">
        <f>SUM('COMPOSIÇÃO DE CUSTOS - LOTE 3_'!F6:F17,'COMPOSIÇÃO DE CUSTOS - LOTE 3_'!F19:F23)*6</f>
        <v>#DIV/0!</v>
      </c>
      <c r="D34" s="72" t="e">
        <f>SUM('COMPOSIÇÃO DE CUSTOS - LOTE 3_'!F6:F17,'COMPOSIÇÃO DE CUSTOS - LOTE 3_'!F19:F23)*6</f>
        <v>#DIV/0!</v>
      </c>
      <c r="E34" s="291" t="e">
        <f>SUM('COMPOSIÇÃO DE CUSTOS - LOTE 3_'!F6:F17,'COMPOSIÇÃO DE CUSTOS - LOTE 3_'!F19:F23)*6</f>
        <v>#DIV/0!</v>
      </c>
      <c r="F34" s="72" t="e">
        <f>SUM('COMPOSIÇÃO DE CUSTOS - LOTE 3_'!F6:F17,'COMPOSIÇÃO DE CUSTOS - LOTE 3_'!F19:F23)*6</f>
        <v>#DIV/0!</v>
      </c>
      <c r="G34" s="72" t="e">
        <f>SUM('COMPOSIÇÃO DE CUSTOS - LOTE 3_'!F6:F17,'COMPOSIÇÃO DE CUSTOS - LOTE 3_'!F19:F23)*6</f>
        <v>#DIV/0!</v>
      </c>
      <c r="H34" s="72" t="e">
        <f>SUM('COMPOSIÇÃO DE CUSTOS - LOTE 3_'!F6:F17,'COMPOSIÇÃO DE CUSTOS - LOTE 3_'!F19:F23)*6</f>
        <v>#DIV/0!</v>
      </c>
      <c r="I34" s="72" t="e">
        <f>SUM('COMPOSIÇÃO DE CUSTOS - LOTE 3_'!F6:F17,'COMPOSIÇÃO DE CUSTOS - LOTE 3_'!F19:F23)*6</f>
        <v>#DIV/0!</v>
      </c>
      <c r="J34" s="74" t="e">
        <f>SUM('COMPOSIÇÃO DE CUSTOS - LOTE 3_'!F6:F17,'COMPOSIÇÃO DE CUSTOS - LOTE 3_'!F19:F23)*6</f>
        <v>#DIV/0!</v>
      </c>
    </row>
    <row r="35" spans="1:10" x14ac:dyDescent="0.2">
      <c r="A35" s="698"/>
      <c r="B35" s="75" t="s">
        <v>116</v>
      </c>
      <c r="C35" s="76" t="e">
        <f>C34/$J$44</f>
        <v>#DIV/0!</v>
      </c>
      <c r="D35" s="76" t="e">
        <f t="shared" ref="D35:J35" si="4">D34/$J$44</f>
        <v>#DIV/0!</v>
      </c>
      <c r="E35" s="76" t="e">
        <f t="shared" si="4"/>
        <v>#DIV/0!</v>
      </c>
      <c r="F35" s="76" t="e">
        <f t="shared" si="4"/>
        <v>#DIV/0!</v>
      </c>
      <c r="G35" s="76" t="e">
        <f t="shared" si="4"/>
        <v>#DIV/0!</v>
      </c>
      <c r="H35" s="76" t="e">
        <f t="shared" si="4"/>
        <v>#DIV/0!</v>
      </c>
      <c r="I35" s="76" t="e">
        <f t="shared" si="4"/>
        <v>#DIV/0!</v>
      </c>
      <c r="J35" s="77" t="e">
        <f t="shared" si="4"/>
        <v>#DIV/0!</v>
      </c>
    </row>
    <row r="36" spans="1:10" x14ac:dyDescent="0.2">
      <c r="A36" s="698"/>
      <c r="B36" s="78" t="s">
        <v>117</v>
      </c>
      <c r="C36" s="79" t="e">
        <f>J14+C34</f>
        <v>#DIV/0!</v>
      </c>
      <c r="D36" s="79" t="e">
        <f>D34+C36</f>
        <v>#DIV/0!</v>
      </c>
      <c r="E36" s="107" t="e">
        <f t="shared" ref="E36:J37" si="5">E34+D36</f>
        <v>#DIV/0!</v>
      </c>
      <c r="F36" s="79" t="e">
        <f t="shared" si="5"/>
        <v>#DIV/0!</v>
      </c>
      <c r="G36" s="79" t="e">
        <f t="shared" si="5"/>
        <v>#DIV/0!</v>
      </c>
      <c r="H36" s="79" t="e">
        <f t="shared" si="5"/>
        <v>#DIV/0!</v>
      </c>
      <c r="I36" s="79" t="e">
        <f t="shared" si="5"/>
        <v>#DIV/0!</v>
      </c>
      <c r="J36" s="81" t="e">
        <f t="shared" si="5"/>
        <v>#DIV/0!</v>
      </c>
    </row>
    <row r="37" spans="1:10" x14ac:dyDescent="0.2">
      <c r="A37" s="698"/>
      <c r="B37" s="75" t="s">
        <v>118</v>
      </c>
      <c r="C37" s="76" t="e">
        <f>J15+C35</f>
        <v>#DIV/0!</v>
      </c>
      <c r="D37" s="76" t="e">
        <f>D35+C37</f>
        <v>#DIV/0!</v>
      </c>
      <c r="E37" s="108" t="e">
        <f t="shared" si="5"/>
        <v>#DIV/0!</v>
      </c>
      <c r="F37" s="76" t="e">
        <f t="shared" si="5"/>
        <v>#DIV/0!</v>
      </c>
      <c r="G37" s="76" t="e">
        <f t="shared" si="5"/>
        <v>#DIV/0!</v>
      </c>
      <c r="H37" s="76" t="e">
        <f t="shared" si="5"/>
        <v>#DIV/0!</v>
      </c>
      <c r="I37" s="76" t="e">
        <f t="shared" si="5"/>
        <v>#DIV/0!</v>
      </c>
      <c r="J37" s="77" t="e">
        <f t="shared" si="5"/>
        <v>#DIV/0!</v>
      </c>
    </row>
    <row r="38" spans="1:10" ht="15" customHeight="1" x14ac:dyDescent="0.2">
      <c r="A38" s="705" t="s">
        <v>119</v>
      </c>
      <c r="B38" s="83" t="s">
        <v>120</v>
      </c>
      <c r="C38" s="84" t="e">
        <f>'COMPOSIÇÃO DE CUSTOS - LOTE 3_'!I43/12</f>
        <v>#REF!</v>
      </c>
      <c r="D38" s="84" t="e">
        <f>'COMPOSIÇÃO DE CUSTOS - LOTE 3_'!I43/12</f>
        <v>#REF!</v>
      </c>
      <c r="E38" s="292" t="e">
        <f>'COMPOSIÇÃO DE CUSTOS - LOTE 3_'!I43/12</f>
        <v>#REF!</v>
      </c>
      <c r="F38" s="84" t="e">
        <f>'COMPOSIÇÃO DE CUSTOS - LOTE 3_'!I43/12</f>
        <v>#REF!</v>
      </c>
      <c r="G38" s="84" t="e">
        <f>'COMPOSIÇÃO DE CUSTOS - LOTE 3_'!I43/12</f>
        <v>#REF!</v>
      </c>
      <c r="H38" s="84" t="e">
        <f>'COMPOSIÇÃO DE CUSTOS - LOTE 3_'!I43/12</f>
        <v>#REF!</v>
      </c>
      <c r="I38" s="84" t="e">
        <f>'COMPOSIÇÃO DE CUSTOS - LOTE 3_'!I43/12</f>
        <v>#REF!</v>
      </c>
      <c r="J38" s="86" t="e">
        <f>'COMPOSIÇÃO DE CUSTOS - LOTE 3_'!I43/12</f>
        <v>#REF!</v>
      </c>
    </row>
    <row r="39" spans="1:10" x14ac:dyDescent="0.2">
      <c r="A39" s="705"/>
      <c r="B39" s="87" t="s">
        <v>116</v>
      </c>
      <c r="C39" s="88" t="e">
        <f>C38/$J$44</f>
        <v>#REF!</v>
      </c>
      <c r="D39" s="88" t="e">
        <f t="shared" ref="D39:J39" si="6">D38/$J$44</f>
        <v>#REF!</v>
      </c>
      <c r="E39" s="89" t="e">
        <f t="shared" si="6"/>
        <v>#REF!</v>
      </c>
      <c r="F39" s="88" t="e">
        <f t="shared" si="6"/>
        <v>#REF!</v>
      </c>
      <c r="G39" s="88" t="e">
        <f t="shared" si="6"/>
        <v>#REF!</v>
      </c>
      <c r="H39" s="88" t="e">
        <f t="shared" si="6"/>
        <v>#REF!</v>
      </c>
      <c r="I39" s="88" t="e">
        <f t="shared" si="6"/>
        <v>#REF!</v>
      </c>
      <c r="J39" s="90" t="e">
        <f t="shared" si="6"/>
        <v>#REF!</v>
      </c>
    </row>
    <row r="40" spans="1:10" x14ac:dyDescent="0.2">
      <c r="A40" s="705"/>
      <c r="B40" s="83" t="s">
        <v>117</v>
      </c>
      <c r="C40" s="84" t="e">
        <f>J18+C38</f>
        <v>#REF!</v>
      </c>
      <c r="D40" s="84" t="e">
        <f>D38+C40</f>
        <v>#REF!</v>
      </c>
      <c r="E40" s="109" t="e">
        <f t="shared" ref="E40:J41" si="7">E38+D40</f>
        <v>#REF!</v>
      </c>
      <c r="F40" s="84" t="e">
        <f t="shared" si="7"/>
        <v>#REF!</v>
      </c>
      <c r="G40" s="84" t="e">
        <f t="shared" si="7"/>
        <v>#REF!</v>
      </c>
      <c r="H40" s="84" t="e">
        <f t="shared" si="7"/>
        <v>#REF!</v>
      </c>
      <c r="I40" s="84" t="e">
        <f t="shared" si="7"/>
        <v>#REF!</v>
      </c>
      <c r="J40" s="86" t="e">
        <f t="shared" si="7"/>
        <v>#REF!</v>
      </c>
    </row>
    <row r="41" spans="1:10" x14ac:dyDescent="0.2">
      <c r="A41" s="705"/>
      <c r="B41" s="87" t="s">
        <v>118</v>
      </c>
      <c r="C41" s="88" t="e">
        <f>J19+C39</f>
        <v>#REF!</v>
      </c>
      <c r="D41" s="88" t="e">
        <f>D39+C41</f>
        <v>#REF!</v>
      </c>
      <c r="E41" s="88" t="e">
        <f t="shared" si="7"/>
        <v>#REF!</v>
      </c>
      <c r="F41" s="88" t="e">
        <f t="shared" si="7"/>
        <v>#REF!</v>
      </c>
      <c r="G41" s="88" t="e">
        <f t="shared" si="7"/>
        <v>#REF!</v>
      </c>
      <c r="H41" s="88" t="e">
        <f t="shared" si="7"/>
        <v>#REF!</v>
      </c>
      <c r="I41" s="88" t="e">
        <f t="shared" si="7"/>
        <v>#REF!</v>
      </c>
      <c r="J41" s="90" t="e">
        <f t="shared" si="7"/>
        <v>#REF!</v>
      </c>
    </row>
    <row r="42" spans="1:10" x14ac:dyDescent="0.2">
      <c r="A42" s="706" t="s">
        <v>121</v>
      </c>
      <c r="B42" s="92" t="s">
        <v>115</v>
      </c>
      <c r="C42" s="93" t="e">
        <f>C34+C38</f>
        <v>#DIV/0!</v>
      </c>
      <c r="D42" s="93" t="e">
        <f t="shared" ref="D42:J42" si="8">D34+D38</f>
        <v>#DIV/0!</v>
      </c>
      <c r="E42" s="106" t="e">
        <f t="shared" si="8"/>
        <v>#DIV/0!</v>
      </c>
      <c r="F42" s="93" t="e">
        <f t="shared" si="8"/>
        <v>#DIV/0!</v>
      </c>
      <c r="G42" s="93" t="e">
        <f t="shared" si="8"/>
        <v>#DIV/0!</v>
      </c>
      <c r="H42" s="93" t="e">
        <f t="shared" si="8"/>
        <v>#DIV/0!</v>
      </c>
      <c r="I42" s="93" t="e">
        <f t="shared" si="8"/>
        <v>#DIV/0!</v>
      </c>
      <c r="J42" s="95" t="e">
        <f t="shared" si="8"/>
        <v>#DIV/0!</v>
      </c>
    </row>
    <row r="43" spans="1:10" x14ac:dyDescent="0.2">
      <c r="A43" s="706"/>
      <c r="B43" s="96" t="s">
        <v>116</v>
      </c>
      <c r="C43" s="97" t="e">
        <f>C42/$J$44</f>
        <v>#DIV/0!</v>
      </c>
      <c r="D43" s="97" t="e">
        <f t="shared" ref="D43:J43" si="9">D42/$J$44</f>
        <v>#DIV/0!</v>
      </c>
      <c r="E43" s="97" t="e">
        <f t="shared" si="9"/>
        <v>#DIV/0!</v>
      </c>
      <c r="F43" s="97" t="e">
        <f t="shared" si="9"/>
        <v>#DIV/0!</v>
      </c>
      <c r="G43" s="97" t="e">
        <f t="shared" si="9"/>
        <v>#DIV/0!</v>
      </c>
      <c r="H43" s="97" t="e">
        <f t="shared" si="9"/>
        <v>#DIV/0!</v>
      </c>
      <c r="I43" s="97" t="e">
        <f t="shared" si="9"/>
        <v>#DIV/0!</v>
      </c>
      <c r="J43" s="98" t="e">
        <f t="shared" si="9"/>
        <v>#DIV/0!</v>
      </c>
    </row>
    <row r="44" spans="1:10" x14ac:dyDescent="0.2">
      <c r="A44" s="706"/>
      <c r="B44" s="92" t="s">
        <v>117</v>
      </c>
      <c r="C44" s="93" t="e">
        <f>J22+C42</f>
        <v>#DIV/0!</v>
      </c>
      <c r="D44" s="93" t="e">
        <f>D42+C44</f>
        <v>#DIV/0!</v>
      </c>
      <c r="E44" s="106" t="e">
        <f t="shared" ref="E44:J45" si="10">E42+D44</f>
        <v>#DIV/0!</v>
      </c>
      <c r="F44" s="93" t="e">
        <f t="shared" si="10"/>
        <v>#DIV/0!</v>
      </c>
      <c r="G44" s="93" t="e">
        <f t="shared" si="10"/>
        <v>#DIV/0!</v>
      </c>
      <c r="H44" s="93" t="e">
        <f t="shared" si="10"/>
        <v>#DIV/0!</v>
      </c>
      <c r="I44" s="93" t="e">
        <f t="shared" si="10"/>
        <v>#DIV/0!</v>
      </c>
      <c r="J44" s="95" t="e">
        <f>J42+I44</f>
        <v>#DIV/0!</v>
      </c>
    </row>
    <row r="45" spans="1:10" ht="15.75" thickBot="1" x14ac:dyDescent="0.25">
      <c r="A45" s="707"/>
      <c r="B45" s="99" t="s">
        <v>118</v>
      </c>
      <c r="C45" s="100" t="e">
        <f>J23+C43</f>
        <v>#DIV/0!</v>
      </c>
      <c r="D45" s="100" t="e">
        <f>D43+C45</f>
        <v>#DIV/0!</v>
      </c>
      <c r="E45" s="110" t="e">
        <f t="shared" si="10"/>
        <v>#DIV/0!</v>
      </c>
      <c r="F45" s="100" t="e">
        <f t="shared" si="10"/>
        <v>#DIV/0!</v>
      </c>
      <c r="G45" s="100" t="e">
        <f t="shared" si="10"/>
        <v>#DIV/0!</v>
      </c>
      <c r="H45" s="100" t="e">
        <f t="shared" si="10"/>
        <v>#DIV/0!</v>
      </c>
      <c r="I45" s="100" t="e">
        <f t="shared" si="10"/>
        <v>#DIV/0!</v>
      </c>
      <c r="J45" s="102" t="e">
        <f t="shared" si="10"/>
        <v>#DIV/0!</v>
      </c>
    </row>
    <row r="46" spans="1:10" ht="24.75" customHeight="1" x14ac:dyDescent="0.2">
      <c r="A46" s="692" t="s">
        <v>134</v>
      </c>
      <c r="B46" s="692"/>
      <c r="C46" s="692"/>
      <c r="D46" s="692"/>
      <c r="E46" s="692"/>
      <c r="F46" s="692"/>
      <c r="G46" s="692"/>
      <c r="H46" s="692"/>
      <c r="I46" s="692"/>
      <c r="J46" s="692"/>
    </row>
    <row r="47" spans="1:10" x14ac:dyDescent="0.2">
      <c r="A47" s="114"/>
      <c r="B47" s="118"/>
      <c r="C47" s="118"/>
      <c r="D47" s="118"/>
      <c r="E47" s="118"/>
      <c r="F47" s="118"/>
      <c r="G47" s="118"/>
      <c r="H47" s="118"/>
      <c r="I47" s="118"/>
      <c r="J47" s="118"/>
    </row>
    <row r="48" spans="1:10" x14ac:dyDescent="0.2">
      <c r="A48" s="117"/>
      <c r="B48" s="117"/>
      <c r="C48" s="117"/>
      <c r="D48" s="117"/>
      <c r="E48" s="117"/>
      <c r="F48" s="117"/>
      <c r="G48" s="117"/>
      <c r="H48" s="117"/>
      <c r="I48" s="117"/>
      <c r="J48" s="117"/>
    </row>
  </sheetData>
  <mergeCells count="19">
    <mergeCell ref="A16:A19"/>
    <mergeCell ref="A20:A23"/>
    <mergeCell ref="A25:A26"/>
    <mergeCell ref="A46:J46"/>
    <mergeCell ref="A1:J1"/>
    <mergeCell ref="C25:J25"/>
    <mergeCell ref="A27:A29"/>
    <mergeCell ref="A30:A32"/>
    <mergeCell ref="A34:A37"/>
    <mergeCell ref="B25:B26"/>
    <mergeCell ref="A3:A4"/>
    <mergeCell ref="B3:B4"/>
    <mergeCell ref="C3:D3"/>
    <mergeCell ref="F3:J3"/>
    <mergeCell ref="A5:A7"/>
    <mergeCell ref="A38:A41"/>
    <mergeCell ref="A42:A45"/>
    <mergeCell ref="A8:A10"/>
    <mergeCell ref="A12:A15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portrait" horizontalDpi="1200" verticalDpi="1200" r:id="rId1"/>
  <headerFooter>
    <oddFooter>Página &amp;P de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42863-4075-4AB8-B245-34E57671C05A}">
  <dimension ref="A1:U64"/>
  <sheetViews>
    <sheetView topLeftCell="A40" workbookViewId="0">
      <selection activeCell="D8" sqref="D8:E8"/>
    </sheetView>
  </sheetViews>
  <sheetFormatPr defaultColWidth="9.140625" defaultRowHeight="15" x14ac:dyDescent="0.25"/>
  <cols>
    <col min="1" max="1" width="5" style="43" bestFit="1" customWidth="1"/>
    <col min="2" max="2" width="39.7109375" style="134" customWidth="1"/>
    <col min="3" max="3" width="2.140625" style="43" customWidth="1"/>
    <col min="4" max="4" width="7.7109375" style="43" bestFit="1" customWidth="1"/>
    <col min="5" max="5" width="9.42578125" style="43" bestFit="1" customWidth="1"/>
    <col min="6" max="6" width="6.28515625" style="43" bestFit="1" customWidth="1"/>
    <col min="7" max="7" width="9.85546875" style="43" bestFit="1" customWidth="1"/>
    <col min="8" max="8" width="6.28515625" style="43" bestFit="1" customWidth="1"/>
    <col min="9" max="9" width="9.85546875" style="43" bestFit="1" customWidth="1"/>
    <col min="10" max="10" width="8.42578125" style="43" customWidth="1"/>
    <col min="11" max="11" width="10.42578125" style="43" customWidth="1"/>
    <col min="12" max="12" width="6.28515625" style="43" bestFit="1" customWidth="1"/>
    <col min="13" max="13" width="9.42578125" style="43" bestFit="1" customWidth="1"/>
    <col min="14" max="14" width="6.42578125" style="43" bestFit="1" customWidth="1"/>
    <col min="15" max="15" width="9.42578125" style="43" bestFit="1" customWidth="1"/>
    <col min="16" max="16" width="6.42578125" style="43" bestFit="1" customWidth="1"/>
    <col min="17" max="17" width="11.28515625" style="43" bestFit="1" customWidth="1"/>
    <col min="18" max="18" width="6.42578125" style="43" bestFit="1" customWidth="1"/>
    <col min="19" max="19" width="9.42578125" style="43" bestFit="1" customWidth="1"/>
    <col min="20" max="16384" width="9.140625" style="43"/>
  </cols>
  <sheetData>
    <row r="1" spans="1:19" ht="15.75" x14ac:dyDescent="0.25">
      <c r="A1" s="710" t="s">
        <v>136</v>
      </c>
      <c r="B1" s="710"/>
      <c r="C1" s="710"/>
      <c r="D1" s="710"/>
      <c r="E1" s="710"/>
      <c r="F1" s="710"/>
      <c r="G1" s="710"/>
      <c r="H1" s="710"/>
      <c r="I1" s="710"/>
      <c r="J1" s="710"/>
      <c r="K1" s="710"/>
      <c r="L1" s="710"/>
      <c r="M1" s="710"/>
      <c r="N1" s="710"/>
      <c r="O1" s="710"/>
      <c r="P1" s="710"/>
      <c r="Q1" s="710"/>
      <c r="R1" s="710"/>
      <c r="S1" s="710"/>
    </row>
    <row r="2" spans="1:19" x14ac:dyDescent="0.25">
      <c r="A2" s="325"/>
      <c r="B2" s="326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  <c r="O2" s="325"/>
      <c r="P2" s="325"/>
      <c r="Q2" s="325"/>
      <c r="R2" s="325"/>
      <c r="S2" s="325"/>
    </row>
    <row r="3" spans="1:19" s="122" customFormat="1" ht="12.75" x14ac:dyDescent="0.25">
      <c r="A3" s="733" t="s">
        <v>137</v>
      </c>
      <c r="B3" s="734"/>
      <c r="C3" s="144"/>
      <c r="D3" s="717" t="s">
        <v>18</v>
      </c>
      <c r="E3" s="718"/>
      <c r="F3" s="717" t="s">
        <v>21</v>
      </c>
      <c r="G3" s="718"/>
      <c r="H3" s="717" t="s">
        <v>23</v>
      </c>
      <c r="I3" s="718"/>
      <c r="J3" s="717" t="s">
        <v>25</v>
      </c>
      <c r="K3" s="718"/>
      <c r="L3" s="717" t="s">
        <v>27</v>
      </c>
      <c r="M3" s="718"/>
      <c r="N3" s="717" t="s">
        <v>29</v>
      </c>
      <c r="O3" s="718"/>
      <c r="P3" s="717" t="s">
        <v>80</v>
      </c>
      <c r="Q3" s="718"/>
      <c r="R3" s="717" t="s">
        <v>31</v>
      </c>
      <c r="S3" s="718"/>
    </row>
    <row r="4" spans="1:19" s="122" customFormat="1" ht="12.75" x14ac:dyDescent="0.25">
      <c r="A4" s="727" t="s">
        <v>138</v>
      </c>
      <c r="B4" s="728"/>
      <c r="C4" s="144"/>
      <c r="D4" s="719" t="s">
        <v>19</v>
      </c>
      <c r="E4" s="720"/>
      <c r="F4" s="719" t="s">
        <v>79</v>
      </c>
      <c r="G4" s="720"/>
      <c r="H4" s="719" t="s">
        <v>24</v>
      </c>
      <c r="I4" s="720"/>
      <c r="J4" s="719" t="s">
        <v>26</v>
      </c>
      <c r="K4" s="720"/>
      <c r="L4" s="719" t="s">
        <v>139</v>
      </c>
      <c r="M4" s="720"/>
      <c r="N4" s="719" t="s">
        <v>30</v>
      </c>
      <c r="O4" s="720"/>
      <c r="P4" s="719" t="s">
        <v>32</v>
      </c>
      <c r="Q4" s="720"/>
      <c r="R4" s="719" t="s">
        <v>34</v>
      </c>
      <c r="S4" s="720"/>
    </row>
    <row r="5" spans="1:19" s="122" customFormat="1" ht="12.75" x14ac:dyDescent="0.25">
      <c r="A5" s="727" t="s">
        <v>140</v>
      </c>
      <c r="B5" s="728"/>
      <c r="C5" s="144"/>
      <c r="D5" s="725"/>
      <c r="E5" s="722"/>
      <c r="F5" s="721"/>
      <c r="G5" s="722"/>
      <c r="H5" s="721"/>
      <c r="I5" s="722"/>
      <c r="J5" s="721"/>
      <c r="K5" s="722"/>
      <c r="L5" s="721"/>
      <c r="M5" s="722"/>
      <c r="N5" s="721"/>
      <c r="O5" s="722"/>
      <c r="P5" s="721"/>
      <c r="Q5" s="722"/>
      <c r="R5" s="721"/>
      <c r="S5" s="722"/>
    </row>
    <row r="6" spans="1:19" s="122" customFormat="1" ht="12.75" x14ac:dyDescent="0.25">
      <c r="A6" s="729" t="s">
        <v>141</v>
      </c>
      <c r="B6" s="730"/>
      <c r="C6" s="144"/>
      <c r="D6" s="721"/>
      <c r="E6" s="722"/>
      <c r="F6" s="721"/>
      <c r="G6" s="722"/>
      <c r="H6" s="721"/>
      <c r="I6" s="722"/>
      <c r="J6" s="721"/>
      <c r="K6" s="722"/>
      <c r="L6" s="721"/>
      <c r="M6" s="722"/>
      <c r="N6" s="721"/>
      <c r="O6" s="722"/>
      <c r="P6" s="721"/>
      <c r="Q6" s="722"/>
      <c r="R6" s="721"/>
      <c r="S6" s="722"/>
    </row>
    <row r="7" spans="1:19" s="122" customFormat="1" ht="13.15" customHeight="1" x14ac:dyDescent="0.25">
      <c r="A7" s="729" t="s">
        <v>142</v>
      </c>
      <c r="B7" s="730"/>
      <c r="C7" s="144"/>
      <c r="D7" s="726"/>
      <c r="E7" s="716"/>
      <c r="F7" s="715"/>
      <c r="G7" s="716"/>
      <c r="H7" s="715"/>
      <c r="I7" s="716"/>
      <c r="J7" s="715"/>
      <c r="K7" s="716"/>
      <c r="L7" s="715"/>
      <c r="M7" s="716"/>
      <c r="N7" s="715"/>
      <c r="O7" s="716"/>
      <c r="P7" s="715"/>
      <c r="Q7" s="716"/>
      <c r="R7" s="715"/>
      <c r="S7" s="716"/>
    </row>
    <row r="8" spans="1:19" s="122" customFormat="1" ht="12.75" x14ac:dyDescent="0.25">
      <c r="A8" s="731" t="s">
        <v>143</v>
      </c>
      <c r="B8" s="732"/>
      <c r="C8" s="144"/>
      <c r="D8" s="723">
        <v>0</v>
      </c>
      <c r="E8" s="724"/>
      <c r="F8" s="723">
        <v>0</v>
      </c>
      <c r="G8" s="724"/>
      <c r="H8" s="723">
        <v>0</v>
      </c>
      <c r="I8" s="724"/>
      <c r="J8" s="723">
        <v>0</v>
      </c>
      <c r="K8" s="724"/>
      <c r="L8" s="723">
        <v>0</v>
      </c>
      <c r="M8" s="724"/>
      <c r="N8" s="723">
        <v>0</v>
      </c>
      <c r="O8" s="724"/>
      <c r="P8" s="723">
        <v>0</v>
      </c>
      <c r="Q8" s="724"/>
      <c r="R8" s="723">
        <v>0</v>
      </c>
      <c r="S8" s="724"/>
    </row>
    <row r="9" spans="1:19" x14ac:dyDescent="0.25">
      <c r="A9" s="325"/>
      <c r="B9" s="326"/>
      <c r="C9" s="325"/>
      <c r="D9" s="325"/>
      <c r="E9" s="325"/>
      <c r="F9" s="325"/>
      <c r="G9" s="325"/>
      <c r="H9" s="325"/>
      <c r="I9" s="325"/>
      <c r="J9" s="325"/>
      <c r="K9" s="325"/>
      <c r="L9" s="325"/>
      <c r="M9" s="325"/>
      <c r="N9" s="325"/>
      <c r="O9" s="325"/>
      <c r="P9" s="325"/>
      <c r="Q9" s="325"/>
      <c r="R9" s="325"/>
      <c r="S9" s="325"/>
    </row>
    <row r="10" spans="1:19" s="144" customFormat="1" ht="15.75" customHeight="1" x14ac:dyDescent="0.25">
      <c r="A10" s="737" t="s">
        <v>144</v>
      </c>
      <c r="B10" s="738"/>
      <c r="C10" s="328"/>
      <c r="D10" s="329"/>
      <c r="E10" s="330"/>
      <c r="F10" s="329"/>
      <c r="G10" s="330"/>
      <c r="H10" s="329"/>
      <c r="I10" s="330"/>
      <c r="J10" s="329"/>
      <c r="K10" s="330"/>
      <c r="L10" s="329"/>
      <c r="M10" s="330"/>
      <c r="N10" s="329"/>
      <c r="O10" s="330"/>
      <c r="P10" s="329"/>
      <c r="Q10" s="330"/>
      <c r="R10" s="329"/>
      <c r="S10" s="330"/>
    </row>
    <row r="11" spans="1:19" s="144" customFormat="1" ht="12" x14ac:dyDescent="0.25">
      <c r="A11" s="331">
        <v>5</v>
      </c>
      <c r="B11" s="332" t="s">
        <v>145</v>
      </c>
      <c r="C11" s="333"/>
      <c r="D11" s="331" t="s">
        <v>146</v>
      </c>
      <c r="E11" s="334" t="s">
        <v>147</v>
      </c>
      <c r="F11" s="331" t="s">
        <v>146</v>
      </c>
      <c r="G11" s="334" t="s">
        <v>147</v>
      </c>
      <c r="H11" s="331" t="s">
        <v>146</v>
      </c>
      <c r="I11" s="334" t="s">
        <v>147</v>
      </c>
      <c r="J11" s="331" t="s">
        <v>146</v>
      </c>
      <c r="K11" s="334" t="s">
        <v>147</v>
      </c>
      <c r="L11" s="331" t="s">
        <v>146</v>
      </c>
      <c r="M11" s="334" t="s">
        <v>147</v>
      </c>
      <c r="N11" s="331" t="s">
        <v>146</v>
      </c>
      <c r="O11" s="334" t="s">
        <v>147</v>
      </c>
      <c r="P11" s="331" t="s">
        <v>146</v>
      </c>
      <c r="Q11" s="334" t="s">
        <v>147</v>
      </c>
      <c r="R11" s="331" t="s">
        <v>146</v>
      </c>
      <c r="S11" s="334" t="s">
        <v>147</v>
      </c>
    </row>
    <row r="12" spans="1:19" s="144" customFormat="1" ht="18" x14ac:dyDescent="0.25">
      <c r="A12" s="335" t="s">
        <v>148</v>
      </c>
      <c r="B12" s="336" t="s">
        <v>149</v>
      </c>
      <c r="C12" s="337"/>
      <c r="D12" s="338">
        <f>SUM(D13:D21)</f>
        <v>0</v>
      </c>
      <c r="E12" s="339">
        <f t="shared" ref="E12:S12" si="0">SUM(E13:E21)</f>
        <v>0</v>
      </c>
      <c r="F12" s="338">
        <f>SUM(F13:F21)</f>
        <v>0</v>
      </c>
      <c r="G12" s="339">
        <f t="shared" si="0"/>
        <v>0</v>
      </c>
      <c r="H12" s="338">
        <f>SUM(H13:H21)</f>
        <v>0</v>
      </c>
      <c r="I12" s="339">
        <f>SUM(I13:I21)</f>
        <v>0</v>
      </c>
      <c r="J12" s="338">
        <f>SUM(J13:J21)</f>
        <v>0</v>
      </c>
      <c r="K12" s="339">
        <f t="shared" si="0"/>
        <v>0</v>
      </c>
      <c r="L12" s="338">
        <f>SUM(L13:L21)</f>
        <v>0</v>
      </c>
      <c r="M12" s="339">
        <f t="shared" si="0"/>
        <v>0</v>
      </c>
      <c r="N12" s="338">
        <f>SUM(N13:N21)</f>
        <v>0</v>
      </c>
      <c r="O12" s="339">
        <f t="shared" si="0"/>
        <v>0</v>
      </c>
      <c r="P12" s="338">
        <f>SUM(P13:P21)</f>
        <v>0</v>
      </c>
      <c r="Q12" s="339">
        <f t="shared" si="0"/>
        <v>0</v>
      </c>
      <c r="R12" s="338">
        <f>SUM(R13:R21)</f>
        <v>0</v>
      </c>
      <c r="S12" s="339">
        <f t="shared" si="0"/>
        <v>0</v>
      </c>
    </row>
    <row r="13" spans="1:19" s="144" customFormat="1" ht="12" x14ac:dyDescent="0.25">
      <c r="A13" s="340" t="s">
        <v>150</v>
      </c>
      <c r="B13" s="341" t="s">
        <v>151</v>
      </c>
      <c r="C13" s="342"/>
      <c r="D13" s="343">
        <f>'ENCARGOS SOCIAIS'!$C$5</f>
        <v>0</v>
      </c>
      <c r="E13" s="344">
        <f>ROUND((D13*$D$8),2)</f>
        <v>0</v>
      </c>
      <c r="F13" s="343">
        <f>'ENCARGOS SOCIAIS'!$C$5</f>
        <v>0</v>
      </c>
      <c r="G13" s="344">
        <f t="shared" ref="G13:G21" si="1">ROUND((F13*$F$8),2)</f>
        <v>0</v>
      </c>
      <c r="H13" s="343">
        <f>'ENCARGOS SOCIAIS'!$C$5</f>
        <v>0</v>
      </c>
      <c r="I13" s="344">
        <f>ROUND((H13*$H$8),2)</f>
        <v>0</v>
      </c>
      <c r="J13" s="343">
        <f>'ENCARGOS SOCIAIS'!$C$5</f>
        <v>0</v>
      </c>
      <c r="K13" s="344">
        <f>ROUND((J13*$J$8),2)</f>
        <v>0</v>
      </c>
      <c r="L13" s="343">
        <f>'ENCARGOS SOCIAIS'!$C$5</f>
        <v>0</v>
      </c>
      <c r="M13" s="344">
        <f>ROUND((L13*$L$8),2)</f>
        <v>0</v>
      </c>
      <c r="N13" s="343">
        <f>'ENCARGOS SOCIAIS'!$C$5</f>
        <v>0</v>
      </c>
      <c r="O13" s="344">
        <f>ROUND((N13*$N$8),2)</f>
        <v>0</v>
      </c>
      <c r="P13" s="343">
        <f>'ENCARGOS SOCIAIS'!$C$5</f>
        <v>0</v>
      </c>
      <c r="Q13" s="344">
        <f>ROUND((P13*$P$8),2)</f>
        <v>0</v>
      </c>
      <c r="R13" s="343">
        <f>'ENCARGOS SOCIAIS'!$C$5</f>
        <v>0</v>
      </c>
      <c r="S13" s="344">
        <f>ROUND((R13*$R$8),2)</f>
        <v>0</v>
      </c>
    </row>
    <row r="14" spans="1:19" s="144" customFormat="1" ht="12" x14ac:dyDescent="0.25">
      <c r="A14" s="340" t="s">
        <v>152</v>
      </c>
      <c r="B14" s="341" t="s">
        <v>153</v>
      </c>
      <c r="C14" s="342"/>
      <c r="D14" s="343">
        <f>'ENCARGOS SOCIAIS'!$C$6</f>
        <v>0</v>
      </c>
      <c r="E14" s="344">
        <f t="shared" ref="E14:E21" si="2">ROUND((D14*$D$8),2)</f>
        <v>0</v>
      </c>
      <c r="F14" s="343">
        <f>'ENCARGOS SOCIAIS'!$C$6</f>
        <v>0</v>
      </c>
      <c r="G14" s="344">
        <f t="shared" si="1"/>
        <v>0</v>
      </c>
      <c r="H14" s="343">
        <f>'ENCARGOS SOCIAIS'!$C$6</f>
        <v>0</v>
      </c>
      <c r="I14" s="344">
        <f t="shared" ref="I14:I21" si="3">ROUND((H14*$H$8),2)</f>
        <v>0</v>
      </c>
      <c r="J14" s="343">
        <f>'ENCARGOS SOCIAIS'!$C$6</f>
        <v>0</v>
      </c>
      <c r="K14" s="344">
        <f t="shared" ref="K14:K21" si="4">ROUND((J14*$J$8),2)</f>
        <v>0</v>
      </c>
      <c r="L14" s="343">
        <f>'ENCARGOS SOCIAIS'!$C$6</f>
        <v>0</v>
      </c>
      <c r="M14" s="344">
        <f t="shared" ref="M14:M21" si="5">ROUND((L14*$L$8),2)</f>
        <v>0</v>
      </c>
      <c r="N14" s="343">
        <f>'ENCARGOS SOCIAIS'!$C$6</f>
        <v>0</v>
      </c>
      <c r="O14" s="344">
        <f t="shared" ref="O14:O21" si="6">ROUND((N14*$N$8),2)</f>
        <v>0</v>
      </c>
      <c r="P14" s="343">
        <f>'ENCARGOS SOCIAIS'!$C$6</f>
        <v>0</v>
      </c>
      <c r="Q14" s="344">
        <f t="shared" ref="Q14:Q21" si="7">ROUND((P14*$P$8),2)</f>
        <v>0</v>
      </c>
      <c r="R14" s="343">
        <f>'ENCARGOS SOCIAIS'!$C$6</f>
        <v>0</v>
      </c>
      <c r="S14" s="344">
        <f t="shared" ref="S14:S21" si="8">ROUND((R14*$R$8),2)</f>
        <v>0</v>
      </c>
    </row>
    <row r="15" spans="1:19" s="144" customFormat="1" ht="12" x14ac:dyDescent="0.25">
      <c r="A15" s="340" t="s">
        <v>154</v>
      </c>
      <c r="B15" s="341" t="s">
        <v>155</v>
      </c>
      <c r="C15" s="342"/>
      <c r="D15" s="343">
        <f>'ENCARGOS SOCIAIS'!$C$7</f>
        <v>0</v>
      </c>
      <c r="E15" s="344">
        <f t="shared" si="2"/>
        <v>0</v>
      </c>
      <c r="F15" s="343">
        <f>'ENCARGOS SOCIAIS'!$C$7</f>
        <v>0</v>
      </c>
      <c r="G15" s="344">
        <f t="shared" si="1"/>
        <v>0</v>
      </c>
      <c r="H15" s="343">
        <f>'ENCARGOS SOCIAIS'!$C$7</f>
        <v>0</v>
      </c>
      <c r="I15" s="344">
        <f t="shared" si="3"/>
        <v>0</v>
      </c>
      <c r="J15" s="343">
        <f>'ENCARGOS SOCIAIS'!$C$7</f>
        <v>0</v>
      </c>
      <c r="K15" s="344">
        <f t="shared" si="4"/>
        <v>0</v>
      </c>
      <c r="L15" s="343">
        <f>'ENCARGOS SOCIAIS'!$C$7</f>
        <v>0</v>
      </c>
      <c r="M15" s="344">
        <f t="shared" si="5"/>
        <v>0</v>
      </c>
      <c r="N15" s="343">
        <f>'ENCARGOS SOCIAIS'!$C$7</f>
        <v>0</v>
      </c>
      <c r="O15" s="344">
        <f t="shared" si="6"/>
        <v>0</v>
      </c>
      <c r="P15" s="343">
        <f>'ENCARGOS SOCIAIS'!$C$7</f>
        <v>0</v>
      </c>
      <c r="Q15" s="344">
        <f t="shared" si="7"/>
        <v>0</v>
      </c>
      <c r="R15" s="343">
        <f>'ENCARGOS SOCIAIS'!$C$7</f>
        <v>0</v>
      </c>
      <c r="S15" s="344">
        <f t="shared" si="8"/>
        <v>0</v>
      </c>
    </row>
    <row r="16" spans="1:19" s="144" customFormat="1" ht="12" x14ac:dyDescent="0.25">
      <c r="A16" s="340" t="s">
        <v>156</v>
      </c>
      <c r="B16" s="341" t="s">
        <v>157</v>
      </c>
      <c r="C16" s="342"/>
      <c r="D16" s="343">
        <f>'ENCARGOS SOCIAIS'!$C$8</f>
        <v>0</v>
      </c>
      <c r="E16" s="344">
        <f t="shared" si="2"/>
        <v>0</v>
      </c>
      <c r="F16" s="343">
        <f>'ENCARGOS SOCIAIS'!$C$8</f>
        <v>0</v>
      </c>
      <c r="G16" s="344">
        <f t="shared" si="1"/>
        <v>0</v>
      </c>
      <c r="H16" s="343">
        <f>'ENCARGOS SOCIAIS'!$C$8</f>
        <v>0</v>
      </c>
      <c r="I16" s="344">
        <f t="shared" si="3"/>
        <v>0</v>
      </c>
      <c r="J16" s="343">
        <f>'ENCARGOS SOCIAIS'!$C$8</f>
        <v>0</v>
      </c>
      <c r="K16" s="344">
        <f t="shared" si="4"/>
        <v>0</v>
      </c>
      <c r="L16" s="343">
        <f>'ENCARGOS SOCIAIS'!$C$8</f>
        <v>0</v>
      </c>
      <c r="M16" s="344">
        <f t="shared" si="5"/>
        <v>0</v>
      </c>
      <c r="N16" s="343">
        <f>'ENCARGOS SOCIAIS'!$C$8</f>
        <v>0</v>
      </c>
      <c r="O16" s="344">
        <f t="shared" si="6"/>
        <v>0</v>
      </c>
      <c r="P16" s="343">
        <f>'ENCARGOS SOCIAIS'!$C$8</f>
        <v>0</v>
      </c>
      <c r="Q16" s="344">
        <f t="shared" si="7"/>
        <v>0</v>
      </c>
      <c r="R16" s="343">
        <f>'ENCARGOS SOCIAIS'!$C$8</f>
        <v>0</v>
      </c>
      <c r="S16" s="344">
        <f t="shared" si="8"/>
        <v>0</v>
      </c>
    </row>
    <row r="17" spans="1:19" s="144" customFormat="1" ht="12" x14ac:dyDescent="0.25">
      <c r="A17" s="340" t="s">
        <v>158</v>
      </c>
      <c r="B17" s="341" t="s">
        <v>159</v>
      </c>
      <c r="C17" s="342"/>
      <c r="D17" s="343">
        <f>'ENCARGOS SOCIAIS'!$C$9</f>
        <v>0</v>
      </c>
      <c r="E17" s="344">
        <f t="shared" si="2"/>
        <v>0</v>
      </c>
      <c r="F17" s="343">
        <f>'ENCARGOS SOCIAIS'!$C$9</f>
        <v>0</v>
      </c>
      <c r="G17" s="344">
        <f t="shared" si="1"/>
        <v>0</v>
      </c>
      <c r="H17" s="343">
        <f>'ENCARGOS SOCIAIS'!$C$9</f>
        <v>0</v>
      </c>
      <c r="I17" s="344">
        <f t="shared" si="3"/>
        <v>0</v>
      </c>
      <c r="J17" s="343">
        <f>'ENCARGOS SOCIAIS'!$C$9</f>
        <v>0</v>
      </c>
      <c r="K17" s="344">
        <f t="shared" si="4"/>
        <v>0</v>
      </c>
      <c r="L17" s="343">
        <f>'ENCARGOS SOCIAIS'!$C$9</f>
        <v>0</v>
      </c>
      <c r="M17" s="344">
        <f t="shared" si="5"/>
        <v>0</v>
      </c>
      <c r="N17" s="343">
        <f>'ENCARGOS SOCIAIS'!$C$9</f>
        <v>0</v>
      </c>
      <c r="O17" s="344">
        <f t="shared" si="6"/>
        <v>0</v>
      </c>
      <c r="P17" s="343">
        <f>'ENCARGOS SOCIAIS'!$C$9</f>
        <v>0</v>
      </c>
      <c r="Q17" s="344">
        <f t="shared" si="7"/>
        <v>0</v>
      </c>
      <c r="R17" s="343">
        <f>'ENCARGOS SOCIAIS'!$C$9</f>
        <v>0</v>
      </c>
      <c r="S17" s="344">
        <f t="shared" si="8"/>
        <v>0</v>
      </c>
    </row>
    <row r="18" spans="1:19" s="144" customFormat="1" ht="12" x14ac:dyDescent="0.25">
      <c r="A18" s="340" t="s">
        <v>160</v>
      </c>
      <c r="B18" s="341" t="s">
        <v>161</v>
      </c>
      <c r="C18" s="342"/>
      <c r="D18" s="343">
        <f>'ENCARGOS SOCIAIS'!$C$10</f>
        <v>0</v>
      </c>
      <c r="E18" s="344">
        <f t="shared" si="2"/>
        <v>0</v>
      </c>
      <c r="F18" s="343">
        <f>'ENCARGOS SOCIAIS'!$C$10</f>
        <v>0</v>
      </c>
      <c r="G18" s="344">
        <f t="shared" si="1"/>
        <v>0</v>
      </c>
      <c r="H18" s="343">
        <f>'ENCARGOS SOCIAIS'!$C$10</f>
        <v>0</v>
      </c>
      <c r="I18" s="344">
        <f t="shared" si="3"/>
        <v>0</v>
      </c>
      <c r="J18" s="343">
        <f>'ENCARGOS SOCIAIS'!$C$10</f>
        <v>0</v>
      </c>
      <c r="K18" s="344">
        <f t="shared" si="4"/>
        <v>0</v>
      </c>
      <c r="L18" s="343">
        <f>'ENCARGOS SOCIAIS'!$C$10</f>
        <v>0</v>
      </c>
      <c r="M18" s="344">
        <f t="shared" si="5"/>
        <v>0</v>
      </c>
      <c r="N18" s="343">
        <f>'ENCARGOS SOCIAIS'!$C$10</f>
        <v>0</v>
      </c>
      <c r="O18" s="344">
        <f t="shared" si="6"/>
        <v>0</v>
      </c>
      <c r="P18" s="343">
        <f>'ENCARGOS SOCIAIS'!$C$10</f>
        <v>0</v>
      </c>
      <c r="Q18" s="344">
        <f t="shared" si="7"/>
        <v>0</v>
      </c>
      <c r="R18" s="343">
        <f>'ENCARGOS SOCIAIS'!$C$10</f>
        <v>0</v>
      </c>
      <c r="S18" s="344">
        <f t="shared" si="8"/>
        <v>0</v>
      </c>
    </row>
    <row r="19" spans="1:19" s="144" customFormat="1" ht="12" x14ac:dyDescent="0.25">
      <c r="A19" s="340" t="s">
        <v>162</v>
      </c>
      <c r="B19" s="341" t="s">
        <v>163</v>
      </c>
      <c r="C19" s="342"/>
      <c r="D19" s="343">
        <f>'ENCARGOS SOCIAIS'!$C$11</f>
        <v>0</v>
      </c>
      <c r="E19" s="344">
        <f t="shared" si="2"/>
        <v>0</v>
      </c>
      <c r="F19" s="343">
        <f>'ENCARGOS SOCIAIS'!$C$11</f>
        <v>0</v>
      </c>
      <c r="G19" s="344">
        <f t="shared" si="1"/>
        <v>0</v>
      </c>
      <c r="H19" s="343">
        <f>'ENCARGOS SOCIAIS'!$C$11</f>
        <v>0</v>
      </c>
      <c r="I19" s="344">
        <f t="shared" si="3"/>
        <v>0</v>
      </c>
      <c r="J19" s="343">
        <f>'ENCARGOS SOCIAIS'!$C$11</f>
        <v>0</v>
      </c>
      <c r="K19" s="344">
        <f t="shared" si="4"/>
        <v>0</v>
      </c>
      <c r="L19" s="343">
        <f>'ENCARGOS SOCIAIS'!$C$11</f>
        <v>0</v>
      </c>
      <c r="M19" s="344">
        <f t="shared" si="5"/>
        <v>0</v>
      </c>
      <c r="N19" s="343">
        <f>'ENCARGOS SOCIAIS'!$C$11</f>
        <v>0</v>
      </c>
      <c r="O19" s="344">
        <f t="shared" si="6"/>
        <v>0</v>
      </c>
      <c r="P19" s="343">
        <f>'ENCARGOS SOCIAIS'!$C$11</f>
        <v>0</v>
      </c>
      <c r="Q19" s="344">
        <f t="shared" si="7"/>
        <v>0</v>
      </c>
      <c r="R19" s="343">
        <f>'ENCARGOS SOCIAIS'!$C$11</f>
        <v>0</v>
      </c>
      <c r="S19" s="344">
        <f t="shared" si="8"/>
        <v>0</v>
      </c>
    </row>
    <row r="20" spans="1:19" s="144" customFormat="1" ht="12" x14ac:dyDescent="0.25">
      <c r="A20" s="340" t="s">
        <v>164</v>
      </c>
      <c r="B20" s="341" t="s">
        <v>165</v>
      </c>
      <c r="C20" s="342"/>
      <c r="D20" s="343">
        <f>'ENCARGOS SOCIAIS'!$C$12</f>
        <v>0</v>
      </c>
      <c r="E20" s="344">
        <f t="shared" si="2"/>
        <v>0</v>
      </c>
      <c r="F20" s="343">
        <f>'ENCARGOS SOCIAIS'!$C$12</f>
        <v>0</v>
      </c>
      <c r="G20" s="344">
        <f t="shared" si="1"/>
        <v>0</v>
      </c>
      <c r="H20" s="343">
        <f>'ENCARGOS SOCIAIS'!$C$12</f>
        <v>0</v>
      </c>
      <c r="I20" s="344">
        <f t="shared" si="3"/>
        <v>0</v>
      </c>
      <c r="J20" s="343">
        <f>'ENCARGOS SOCIAIS'!$C$12</f>
        <v>0</v>
      </c>
      <c r="K20" s="344">
        <f t="shared" si="4"/>
        <v>0</v>
      </c>
      <c r="L20" s="343">
        <f>'ENCARGOS SOCIAIS'!$C$12</f>
        <v>0</v>
      </c>
      <c r="M20" s="344">
        <f t="shared" si="5"/>
        <v>0</v>
      </c>
      <c r="N20" s="343">
        <f>'ENCARGOS SOCIAIS'!$C$12</f>
        <v>0</v>
      </c>
      <c r="O20" s="344">
        <f t="shared" si="6"/>
        <v>0</v>
      </c>
      <c r="P20" s="343">
        <f>'ENCARGOS SOCIAIS'!$C$12</f>
        <v>0</v>
      </c>
      <c r="Q20" s="344">
        <f t="shared" si="7"/>
        <v>0</v>
      </c>
      <c r="R20" s="343">
        <f>'ENCARGOS SOCIAIS'!$C$12</f>
        <v>0</v>
      </c>
      <c r="S20" s="344">
        <f t="shared" si="8"/>
        <v>0</v>
      </c>
    </row>
    <row r="21" spans="1:19" s="144" customFormat="1" ht="18" x14ac:dyDescent="0.25">
      <c r="A21" s="340" t="s">
        <v>166</v>
      </c>
      <c r="B21" s="341" t="s">
        <v>167</v>
      </c>
      <c r="C21" s="342"/>
      <c r="D21" s="343">
        <f>'ENCARGOS SOCIAIS'!$C$13</f>
        <v>0</v>
      </c>
      <c r="E21" s="344">
        <f t="shared" si="2"/>
        <v>0</v>
      </c>
      <c r="F21" s="343">
        <f>'ENCARGOS SOCIAIS'!$C$13</f>
        <v>0</v>
      </c>
      <c r="G21" s="344">
        <f t="shared" si="1"/>
        <v>0</v>
      </c>
      <c r="H21" s="343">
        <f>'ENCARGOS SOCIAIS'!$C$13</f>
        <v>0</v>
      </c>
      <c r="I21" s="344">
        <f t="shared" si="3"/>
        <v>0</v>
      </c>
      <c r="J21" s="343">
        <f>'ENCARGOS SOCIAIS'!$C$13</f>
        <v>0</v>
      </c>
      <c r="K21" s="344">
        <f t="shared" si="4"/>
        <v>0</v>
      </c>
      <c r="L21" s="343">
        <f>'ENCARGOS SOCIAIS'!$C$13</f>
        <v>0</v>
      </c>
      <c r="M21" s="344">
        <f t="shared" si="5"/>
        <v>0</v>
      </c>
      <c r="N21" s="343">
        <f>'ENCARGOS SOCIAIS'!$C$13</f>
        <v>0</v>
      </c>
      <c r="O21" s="344">
        <f t="shared" si="6"/>
        <v>0</v>
      </c>
      <c r="P21" s="343">
        <f>'ENCARGOS SOCIAIS'!$C$13</f>
        <v>0</v>
      </c>
      <c r="Q21" s="344">
        <f t="shared" si="7"/>
        <v>0</v>
      </c>
      <c r="R21" s="343">
        <f>'ENCARGOS SOCIAIS'!$C$13</f>
        <v>0</v>
      </c>
      <c r="S21" s="344">
        <f t="shared" si="8"/>
        <v>0</v>
      </c>
    </row>
    <row r="22" spans="1:19" s="144" customFormat="1" ht="12" x14ac:dyDescent="0.25">
      <c r="A22" s="335" t="s">
        <v>168</v>
      </c>
      <c r="B22" s="336" t="s">
        <v>169</v>
      </c>
      <c r="C22" s="345"/>
      <c r="D22" s="338">
        <f>SUM(D23:D29)</f>
        <v>0</v>
      </c>
      <c r="E22" s="339">
        <f t="shared" ref="E22:S22" si="9">SUM(E23:E29)</f>
        <v>0</v>
      </c>
      <c r="F22" s="338">
        <f>SUM(F23:F29)</f>
        <v>0</v>
      </c>
      <c r="G22" s="339">
        <f t="shared" si="9"/>
        <v>0</v>
      </c>
      <c r="H22" s="338">
        <f>SUM(H23:H29)</f>
        <v>0</v>
      </c>
      <c r="I22" s="339">
        <f t="shared" si="9"/>
        <v>0</v>
      </c>
      <c r="J22" s="338">
        <f>SUM(J23:J29)</f>
        <v>0</v>
      </c>
      <c r="K22" s="339">
        <f t="shared" si="9"/>
        <v>0</v>
      </c>
      <c r="L22" s="338">
        <f>SUM(L23:L29)</f>
        <v>0</v>
      </c>
      <c r="M22" s="339">
        <f t="shared" si="9"/>
        <v>0</v>
      </c>
      <c r="N22" s="338">
        <f>SUM(N23:N29)</f>
        <v>0</v>
      </c>
      <c r="O22" s="339">
        <f t="shared" si="9"/>
        <v>0</v>
      </c>
      <c r="P22" s="338">
        <f>SUM(P23:P29)</f>
        <v>0</v>
      </c>
      <c r="Q22" s="339">
        <f t="shared" si="9"/>
        <v>0</v>
      </c>
      <c r="R22" s="338">
        <f>SUM(R23:R29)</f>
        <v>0</v>
      </c>
      <c r="S22" s="339">
        <f t="shared" si="9"/>
        <v>0</v>
      </c>
    </row>
    <row r="23" spans="1:19" s="144" customFormat="1" ht="12" x14ac:dyDescent="0.25">
      <c r="A23" s="340" t="s">
        <v>170</v>
      </c>
      <c r="B23" s="341" t="s">
        <v>171</v>
      </c>
      <c r="C23" s="342"/>
      <c r="D23" s="343">
        <f>'ENCARGOS SOCIAIS'!$C$15</f>
        <v>0</v>
      </c>
      <c r="E23" s="344">
        <f>ROUND((D23*$D$8),2)</f>
        <v>0</v>
      </c>
      <c r="F23" s="343">
        <f>'ENCARGOS SOCIAIS'!$C$15</f>
        <v>0</v>
      </c>
      <c r="G23" s="344">
        <f t="shared" ref="G23:G29" si="10">ROUND((F23*$F$8),2)</f>
        <v>0</v>
      </c>
      <c r="H23" s="343">
        <f>'ENCARGOS SOCIAIS'!$C$15</f>
        <v>0</v>
      </c>
      <c r="I23" s="344">
        <f>ROUND((H23*$H$8),2)</f>
        <v>0</v>
      </c>
      <c r="J23" s="343">
        <f>'ENCARGOS SOCIAIS'!$C$15</f>
        <v>0</v>
      </c>
      <c r="K23" s="344">
        <f>ROUND((J23*$J$8),2)</f>
        <v>0</v>
      </c>
      <c r="L23" s="343">
        <f>'ENCARGOS SOCIAIS'!$C$15</f>
        <v>0</v>
      </c>
      <c r="M23" s="344">
        <f>ROUND((L23*$L$8),2)</f>
        <v>0</v>
      </c>
      <c r="N23" s="343">
        <f>'ENCARGOS SOCIAIS'!$C$15</f>
        <v>0</v>
      </c>
      <c r="O23" s="344">
        <f>ROUND((N23*$N$8),2)</f>
        <v>0</v>
      </c>
      <c r="P23" s="343">
        <f>'ENCARGOS SOCIAIS'!$C$15</f>
        <v>0</v>
      </c>
      <c r="Q23" s="344">
        <f>ROUND((P23*$P$8),2)</f>
        <v>0</v>
      </c>
      <c r="R23" s="343">
        <f>'ENCARGOS SOCIAIS'!$C$15</f>
        <v>0</v>
      </c>
      <c r="S23" s="344">
        <f>ROUND((R23*$R$8),2)</f>
        <v>0</v>
      </c>
    </row>
    <row r="24" spans="1:19" s="144" customFormat="1" ht="12" x14ac:dyDescent="0.25">
      <c r="A24" s="340" t="s">
        <v>172</v>
      </c>
      <c r="B24" s="341" t="s">
        <v>173</v>
      </c>
      <c r="C24" s="342"/>
      <c r="D24" s="343">
        <f>'ENCARGOS SOCIAIS'!$C$16</f>
        <v>0</v>
      </c>
      <c r="E24" s="344">
        <f t="shared" ref="E24:E29" si="11">ROUND((D24*$D$8),2)</f>
        <v>0</v>
      </c>
      <c r="F24" s="343">
        <f>'ENCARGOS SOCIAIS'!$C$16</f>
        <v>0</v>
      </c>
      <c r="G24" s="344">
        <f t="shared" si="10"/>
        <v>0</v>
      </c>
      <c r="H24" s="343">
        <f>'ENCARGOS SOCIAIS'!$C$16</f>
        <v>0</v>
      </c>
      <c r="I24" s="344">
        <f t="shared" ref="I24:I29" si="12">ROUND((H24*$H$8),2)</f>
        <v>0</v>
      </c>
      <c r="J24" s="343">
        <f>'ENCARGOS SOCIAIS'!$C$16</f>
        <v>0</v>
      </c>
      <c r="K24" s="344">
        <f t="shared" ref="K24:K28" si="13">ROUND((J24*$J$8),2)</f>
        <v>0</v>
      </c>
      <c r="L24" s="343">
        <f>'ENCARGOS SOCIAIS'!$C$16</f>
        <v>0</v>
      </c>
      <c r="M24" s="344">
        <f t="shared" ref="M24:M29" si="14">ROUND((L24*$L$8),2)</f>
        <v>0</v>
      </c>
      <c r="N24" s="343">
        <f>'ENCARGOS SOCIAIS'!$C$16</f>
        <v>0</v>
      </c>
      <c r="O24" s="344">
        <f t="shared" ref="O24:O29" si="15">ROUND((N24*$N$8),2)</f>
        <v>0</v>
      </c>
      <c r="P24" s="343">
        <f>'ENCARGOS SOCIAIS'!$C$16</f>
        <v>0</v>
      </c>
      <c r="Q24" s="344">
        <f t="shared" ref="Q24:Q29" si="16">ROUND((P24*$P$8),2)</f>
        <v>0</v>
      </c>
      <c r="R24" s="343">
        <f>'ENCARGOS SOCIAIS'!$C$16</f>
        <v>0</v>
      </c>
      <c r="S24" s="344">
        <f t="shared" ref="S24:S29" si="17">ROUND((R24*$R$8),2)</f>
        <v>0</v>
      </c>
    </row>
    <row r="25" spans="1:19" s="144" customFormat="1" ht="12" x14ac:dyDescent="0.25">
      <c r="A25" s="340" t="s">
        <v>174</v>
      </c>
      <c r="B25" s="341" t="s">
        <v>175</v>
      </c>
      <c r="C25" s="342"/>
      <c r="D25" s="343">
        <f>'ENCARGOS SOCIAIS'!$C$17</f>
        <v>0</v>
      </c>
      <c r="E25" s="344">
        <f t="shared" si="11"/>
        <v>0</v>
      </c>
      <c r="F25" s="343">
        <f>'ENCARGOS SOCIAIS'!$C$17</f>
        <v>0</v>
      </c>
      <c r="G25" s="344">
        <f t="shared" si="10"/>
        <v>0</v>
      </c>
      <c r="H25" s="343">
        <f>'ENCARGOS SOCIAIS'!$C$17</f>
        <v>0</v>
      </c>
      <c r="I25" s="344">
        <f t="shared" si="12"/>
        <v>0</v>
      </c>
      <c r="J25" s="343">
        <f>'ENCARGOS SOCIAIS'!$C$17</f>
        <v>0</v>
      </c>
      <c r="K25" s="344">
        <f t="shared" si="13"/>
        <v>0</v>
      </c>
      <c r="L25" s="343">
        <f>'ENCARGOS SOCIAIS'!$C$17</f>
        <v>0</v>
      </c>
      <c r="M25" s="344">
        <f t="shared" si="14"/>
        <v>0</v>
      </c>
      <c r="N25" s="343">
        <f>'ENCARGOS SOCIAIS'!$C$17</f>
        <v>0</v>
      </c>
      <c r="O25" s="344">
        <f t="shared" si="15"/>
        <v>0</v>
      </c>
      <c r="P25" s="343">
        <f>'ENCARGOS SOCIAIS'!$C$17</f>
        <v>0</v>
      </c>
      <c r="Q25" s="344">
        <f t="shared" si="16"/>
        <v>0</v>
      </c>
      <c r="R25" s="343">
        <f>'ENCARGOS SOCIAIS'!$C$17</f>
        <v>0</v>
      </c>
      <c r="S25" s="344">
        <f t="shared" si="17"/>
        <v>0</v>
      </c>
    </row>
    <row r="26" spans="1:19" s="144" customFormat="1" ht="12" x14ac:dyDescent="0.25">
      <c r="A26" s="340" t="s">
        <v>176</v>
      </c>
      <c r="B26" s="341" t="s">
        <v>177</v>
      </c>
      <c r="C26" s="342"/>
      <c r="D26" s="343">
        <f>'ENCARGOS SOCIAIS'!$C$18</f>
        <v>0</v>
      </c>
      <c r="E26" s="344">
        <f t="shared" si="11"/>
        <v>0</v>
      </c>
      <c r="F26" s="343">
        <f>'ENCARGOS SOCIAIS'!$C$18</f>
        <v>0</v>
      </c>
      <c r="G26" s="344">
        <f t="shared" si="10"/>
        <v>0</v>
      </c>
      <c r="H26" s="343">
        <f>'ENCARGOS SOCIAIS'!$C$18</f>
        <v>0</v>
      </c>
      <c r="I26" s="344">
        <f t="shared" si="12"/>
        <v>0</v>
      </c>
      <c r="J26" s="343">
        <f>'ENCARGOS SOCIAIS'!$C$18</f>
        <v>0</v>
      </c>
      <c r="K26" s="344">
        <f t="shared" si="13"/>
        <v>0</v>
      </c>
      <c r="L26" s="343">
        <f>'ENCARGOS SOCIAIS'!$C$18</f>
        <v>0</v>
      </c>
      <c r="M26" s="344">
        <f t="shared" si="14"/>
        <v>0</v>
      </c>
      <c r="N26" s="343">
        <f>'ENCARGOS SOCIAIS'!$C$18</f>
        <v>0</v>
      </c>
      <c r="O26" s="344">
        <f t="shared" si="15"/>
        <v>0</v>
      </c>
      <c r="P26" s="343">
        <f>'ENCARGOS SOCIAIS'!$C$18</f>
        <v>0</v>
      </c>
      <c r="Q26" s="344">
        <f t="shared" si="16"/>
        <v>0</v>
      </c>
      <c r="R26" s="343">
        <f>'ENCARGOS SOCIAIS'!$C$18</f>
        <v>0</v>
      </c>
      <c r="S26" s="344">
        <f t="shared" si="17"/>
        <v>0</v>
      </c>
    </row>
    <row r="27" spans="1:19" s="144" customFormat="1" ht="12" x14ac:dyDescent="0.25">
      <c r="A27" s="340" t="s">
        <v>178</v>
      </c>
      <c r="B27" s="341" t="s">
        <v>179</v>
      </c>
      <c r="C27" s="342"/>
      <c r="D27" s="343">
        <f>'ENCARGOS SOCIAIS'!$C$19</f>
        <v>0</v>
      </c>
      <c r="E27" s="344">
        <f t="shared" si="11"/>
        <v>0</v>
      </c>
      <c r="F27" s="343">
        <f>'ENCARGOS SOCIAIS'!$C$19</f>
        <v>0</v>
      </c>
      <c r="G27" s="344">
        <f t="shared" si="10"/>
        <v>0</v>
      </c>
      <c r="H27" s="343">
        <f>'ENCARGOS SOCIAIS'!$C$19</f>
        <v>0</v>
      </c>
      <c r="I27" s="344">
        <f t="shared" si="12"/>
        <v>0</v>
      </c>
      <c r="J27" s="343">
        <f>'ENCARGOS SOCIAIS'!$C$19</f>
        <v>0</v>
      </c>
      <c r="K27" s="344">
        <f t="shared" si="13"/>
        <v>0</v>
      </c>
      <c r="L27" s="343">
        <f>'ENCARGOS SOCIAIS'!$C$19</f>
        <v>0</v>
      </c>
      <c r="M27" s="344">
        <f t="shared" si="14"/>
        <v>0</v>
      </c>
      <c r="N27" s="343">
        <f>'ENCARGOS SOCIAIS'!$C$19</f>
        <v>0</v>
      </c>
      <c r="O27" s="344">
        <f t="shared" si="15"/>
        <v>0</v>
      </c>
      <c r="P27" s="343">
        <f>'ENCARGOS SOCIAIS'!$C$19</f>
        <v>0</v>
      </c>
      <c r="Q27" s="344">
        <f t="shared" si="16"/>
        <v>0</v>
      </c>
      <c r="R27" s="343">
        <f>'ENCARGOS SOCIAIS'!$C$19</f>
        <v>0</v>
      </c>
      <c r="S27" s="344">
        <f t="shared" si="17"/>
        <v>0</v>
      </c>
    </row>
    <row r="28" spans="1:19" s="144" customFormat="1" ht="12" x14ac:dyDescent="0.25">
      <c r="A28" s="340" t="s">
        <v>180</v>
      </c>
      <c r="B28" s="341" t="s">
        <v>181</v>
      </c>
      <c r="C28" s="342"/>
      <c r="D28" s="343">
        <f>'ENCARGOS SOCIAIS'!$C$20</f>
        <v>0</v>
      </c>
      <c r="E28" s="344">
        <f t="shared" si="11"/>
        <v>0</v>
      </c>
      <c r="F28" s="343">
        <f>'ENCARGOS SOCIAIS'!$C$20</f>
        <v>0</v>
      </c>
      <c r="G28" s="344">
        <f t="shared" si="10"/>
        <v>0</v>
      </c>
      <c r="H28" s="343">
        <f>'ENCARGOS SOCIAIS'!$C$20</f>
        <v>0</v>
      </c>
      <c r="I28" s="344">
        <f t="shared" si="12"/>
        <v>0</v>
      </c>
      <c r="J28" s="343">
        <f>'ENCARGOS SOCIAIS'!$C$20</f>
        <v>0</v>
      </c>
      <c r="K28" s="344">
        <f t="shared" si="13"/>
        <v>0</v>
      </c>
      <c r="L28" s="343">
        <f>'ENCARGOS SOCIAIS'!$C$20</f>
        <v>0</v>
      </c>
      <c r="M28" s="344">
        <f t="shared" si="14"/>
        <v>0</v>
      </c>
      <c r="N28" s="343">
        <f>'ENCARGOS SOCIAIS'!$C$20</f>
        <v>0</v>
      </c>
      <c r="O28" s="344">
        <f t="shared" si="15"/>
        <v>0</v>
      </c>
      <c r="P28" s="343">
        <f>'ENCARGOS SOCIAIS'!$C$20</f>
        <v>0</v>
      </c>
      <c r="Q28" s="344">
        <f t="shared" si="16"/>
        <v>0</v>
      </c>
      <c r="R28" s="343">
        <f>'ENCARGOS SOCIAIS'!$C$20</f>
        <v>0</v>
      </c>
      <c r="S28" s="344">
        <f t="shared" si="17"/>
        <v>0</v>
      </c>
    </row>
    <row r="29" spans="1:19" s="144" customFormat="1" ht="12" x14ac:dyDescent="0.25">
      <c r="A29" s="340" t="s">
        <v>182</v>
      </c>
      <c r="B29" s="341" t="s">
        <v>183</v>
      </c>
      <c r="C29" s="342"/>
      <c r="D29" s="343">
        <f>'ENCARGOS SOCIAIS'!$C$21</f>
        <v>0</v>
      </c>
      <c r="E29" s="344">
        <f t="shared" si="11"/>
        <v>0</v>
      </c>
      <c r="F29" s="343">
        <f>'ENCARGOS SOCIAIS'!$C$21</f>
        <v>0</v>
      </c>
      <c r="G29" s="344">
        <f t="shared" si="10"/>
        <v>0</v>
      </c>
      <c r="H29" s="343">
        <f>'ENCARGOS SOCIAIS'!$C$21</f>
        <v>0</v>
      </c>
      <c r="I29" s="344">
        <f t="shared" si="12"/>
        <v>0</v>
      </c>
      <c r="J29" s="343">
        <f>'ENCARGOS SOCIAIS'!$C$21</f>
        <v>0</v>
      </c>
      <c r="K29" s="344">
        <f>ROUND((J29*$J$8),2)</f>
        <v>0</v>
      </c>
      <c r="L29" s="343">
        <f>'ENCARGOS SOCIAIS'!$C$21</f>
        <v>0</v>
      </c>
      <c r="M29" s="344">
        <f t="shared" si="14"/>
        <v>0</v>
      </c>
      <c r="N29" s="343">
        <f>'ENCARGOS SOCIAIS'!$C$21</f>
        <v>0</v>
      </c>
      <c r="O29" s="344">
        <f t="shared" si="15"/>
        <v>0</v>
      </c>
      <c r="P29" s="343">
        <f>'ENCARGOS SOCIAIS'!$C$21</f>
        <v>0</v>
      </c>
      <c r="Q29" s="344">
        <f t="shared" si="16"/>
        <v>0</v>
      </c>
      <c r="R29" s="343">
        <f>'ENCARGOS SOCIAIS'!$C$21</f>
        <v>0</v>
      </c>
      <c r="S29" s="344">
        <f t="shared" si="17"/>
        <v>0</v>
      </c>
    </row>
    <row r="30" spans="1:19" s="144" customFormat="1" ht="12" x14ac:dyDescent="0.25">
      <c r="A30" s="335" t="s">
        <v>184</v>
      </c>
      <c r="B30" s="336" t="s">
        <v>185</v>
      </c>
      <c r="C30" s="345"/>
      <c r="D30" s="338">
        <f>SUM(D31:D35)</f>
        <v>0</v>
      </c>
      <c r="E30" s="339">
        <f t="shared" ref="E30:S30" si="18">SUM(E31:E35)</f>
        <v>0</v>
      </c>
      <c r="F30" s="338">
        <f>SUM(F31:F35)</f>
        <v>0</v>
      </c>
      <c r="G30" s="339">
        <f t="shared" si="18"/>
        <v>0</v>
      </c>
      <c r="H30" s="338">
        <f>SUM(H31:H35)</f>
        <v>0</v>
      </c>
      <c r="I30" s="339">
        <f t="shared" si="18"/>
        <v>0</v>
      </c>
      <c r="J30" s="338">
        <f>SUM(J31:J35)</f>
        <v>0</v>
      </c>
      <c r="K30" s="339">
        <f t="shared" si="18"/>
        <v>0</v>
      </c>
      <c r="L30" s="338">
        <f>SUM(L31:L35)</f>
        <v>0</v>
      </c>
      <c r="M30" s="339">
        <f t="shared" si="18"/>
        <v>0</v>
      </c>
      <c r="N30" s="338">
        <f>SUM(N31:N35)</f>
        <v>0</v>
      </c>
      <c r="O30" s="339">
        <f t="shared" si="18"/>
        <v>0</v>
      </c>
      <c r="P30" s="338">
        <f>SUM(P31:P35)</f>
        <v>0</v>
      </c>
      <c r="Q30" s="339">
        <f t="shared" si="18"/>
        <v>0</v>
      </c>
      <c r="R30" s="338">
        <f>SUM(R31:R35)</f>
        <v>0</v>
      </c>
      <c r="S30" s="339">
        <f t="shared" si="18"/>
        <v>0</v>
      </c>
    </row>
    <row r="31" spans="1:19" s="144" customFormat="1" ht="12" x14ac:dyDescent="0.25">
      <c r="A31" s="340" t="s">
        <v>186</v>
      </c>
      <c r="B31" s="341" t="s">
        <v>187</v>
      </c>
      <c r="C31" s="342"/>
      <c r="D31" s="343">
        <f>'ENCARGOS SOCIAIS'!$C$23</f>
        <v>0</v>
      </c>
      <c r="E31" s="344">
        <f>ROUND((D31*$D$8),2)</f>
        <v>0</v>
      </c>
      <c r="F31" s="343">
        <f>'ENCARGOS SOCIAIS'!$C$23</f>
        <v>0</v>
      </c>
      <c r="G31" s="344">
        <f>ROUND((F31*$F$8),2)</f>
        <v>0</v>
      </c>
      <c r="H31" s="343">
        <f>'ENCARGOS SOCIAIS'!$C$23</f>
        <v>0</v>
      </c>
      <c r="I31" s="344">
        <f>ROUND((H31*$H$8),2)</f>
        <v>0</v>
      </c>
      <c r="J31" s="343">
        <f>'ENCARGOS SOCIAIS'!$C$23</f>
        <v>0</v>
      </c>
      <c r="K31" s="344">
        <f>ROUND((J31*$J$8),2)</f>
        <v>0</v>
      </c>
      <c r="L31" s="343">
        <f>'ENCARGOS SOCIAIS'!$C$23</f>
        <v>0</v>
      </c>
      <c r="M31" s="344">
        <f>ROUND((L31*$L$8),2)</f>
        <v>0</v>
      </c>
      <c r="N31" s="343">
        <f>'ENCARGOS SOCIAIS'!$C$23</f>
        <v>0</v>
      </c>
      <c r="O31" s="344">
        <f>ROUND((N31*$N$8),2)</f>
        <v>0</v>
      </c>
      <c r="P31" s="343">
        <f>'ENCARGOS SOCIAIS'!$C$23</f>
        <v>0</v>
      </c>
      <c r="Q31" s="344">
        <f>ROUND((P31*$P$8),2)</f>
        <v>0</v>
      </c>
      <c r="R31" s="343">
        <f>'ENCARGOS SOCIAIS'!$C$23</f>
        <v>0</v>
      </c>
      <c r="S31" s="344">
        <f>ROUND((R31*$R$8),2)</f>
        <v>0</v>
      </c>
    </row>
    <row r="32" spans="1:19" s="144" customFormat="1" ht="12" x14ac:dyDescent="0.25">
      <c r="A32" s="340" t="s">
        <v>188</v>
      </c>
      <c r="B32" s="341" t="s">
        <v>189</v>
      </c>
      <c r="C32" s="342"/>
      <c r="D32" s="343">
        <f>'ENCARGOS SOCIAIS'!$C$24</f>
        <v>0</v>
      </c>
      <c r="E32" s="344">
        <f t="shared" ref="E32:E35" si="19">ROUND((D32*$D$8),2)</f>
        <v>0</v>
      </c>
      <c r="F32" s="343">
        <f>'ENCARGOS SOCIAIS'!$C$24</f>
        <v>0</v>
      </c>
      <c r="G32" s="344">
        <f>ROUND((F32*$F$8),2)</f>
        <v>0</v>
      </c>
      <c r="H32" s="343">
        <f>'ENCARGOS SOCIAIS'!$C$24</f>
        <v>0</v>
      </c>
      <c r="I32" s="344">
        <f t="shared" ref="I32" si="20">ROUND((H32*$D$8),2)</f>
        <v>0</v>
      </c>
      <c r="J32" s="343">
        <f>'ENCARGOS SOCIAIS'!$C$24</f>
        <v>0</v>
      </c>
      <c r="K32" s="344">
        <f t="shared" ref="K32:K35" si="21">ROUND((J32*$J$8),2)</f>
        <v>0</v>
      </c>
      <c r="L32" s="343">
        <f>'ENCARGOS SOCIAIS'!$C$24</f>
        <v>0</v>
      </c>
      <c r="M32" s="344">
        <f t="shared" ref="M32:M35" si="22">ROUND((L32*$L$8),2)</f>
        <v>0</v>
      </c>
      <c r="N32" s="343">
        <f>'ENCARGOS SOCIAIS'!$C$24</f>
        <v>0</v>
      </c>
      <c r="O32" s="344">
        <f t="shared" ref="O32:O35" si="23">ROUND((N32*$N$8),2)</f>
        <v>0</v>
      </c>
      <c r="P32" s="343">
        <f>'ENCARGOS SOCIAIS'!$C$24</f>
        <v>0</v>
      </c>
      <c r="Q32" s="344">
        <f t="shared" ref="Q32:Q35" si="24">ROUND((P32*$P$8),2)</f>
        <v>0</v>
      </c>
      <c r="R32" s="343">
        <f>'ENCARGOS SOCIAIS'!$C$24</f>
        <v>0</v>
      </c>
      <c r="S32" s="344">
        <f t="shared" ref="S32:S35" si="25">ROUND((R32*$R$8),2)</f>
        <v>0</v>
      </c>
    </row>
    <row r="33" spans="1:21" s="144" customFormat="1" ht="12" x14ac:dyDescent="0.25">
      <c r="A33" s="340" t="s">
        <v>190</v>
      </c>
      <c r="B33" s="341" t="s">
        <v>191</v>
      </c>
      <c r="C33" s="342"/>
      <c r="D33" s="343">
        <f>'ENCARGOS SOCIAIS'!$C$25</f>
        <v>0</v>
      </c>
      <c r="E33" s="344">
        <f t="shared" si="19"/>
        <v>0</v>
      </c>
      <c r="F33" s="343">
        <f>'ENCARGOS SOCIAIS'!$C$25</f>
        <v>0</v>
      </c>
      <c r="G33" s="344">
        <f>ROUND((F33*$F$8),2)</f>
        <v>0</v>
      </c>
      <c r="H33" s="343">
        <f>'ENCARGOS SOCIAIS'!$C$25</f>
        <v>0</v>
      </c>
      <c r="I33" s="344">
        <f t="shared" ref="I33" si="26">ROUND((H33*$D$8),2)</f>
        <v>0</v>
      </c>
      <c r="J33" s="343">
        <f>'ENCARGOS SOCIAIS'!$C$25</f>
        <v>0</v>
      </c>
      <c r="K33" s="344">
        <f t="shared" si="21"/>
        <v>0</v>
      </c>
      <c r="L33" s="343">
        <f>'ENCARGOS SOCIAIS'!$C$25</f>
        <v>0</v>
      </c>
      <c r="M33" s="344">
        <f t="shared" si="22"/>
        <v>0</v>
      </c>
      <c r="N33" s="343">
        <f>'ENCARGOS SOCIAIS'!$C$25</f>
        <v>0</v>
      </c>
      <c r="O33" s="344">
        <f t="shared" si="23"/>
        <v>0</v>
      </c>
      <c r="P33" s="343">
        <f>'ENCARGOS SOCIAIS'!$C$25</f>
        <v>0</v>
      </c>
      <c r="Q33" s="344">
        <f t="shared" si="24"/>
        <v>0</v>
      </c>
      <c r="R33" s="343">
        <f>'ENCARGOS SOCIAIS'!$C$25</f>
        <v>0</v>
      </c>
      <c r="S33" s="344">
        <f t="shared" si="25"/>
        <v>0</v>
      </c>
    </row>
    <row r="34" spans="1:21" s="144" customFormat="1" ht="12" x14ac:dyDescent="0.25">
      <c r="A34" s="340" t="s">
        <v>192</v>
      </c>
      <c r="B34" s="341" t="s">
        <v>193</v>
      </c>
      <c r="C34" s="342"/>
      <c r="D34" s="343">
        <f>'ENCARGOS SOCIAIS'!$C$26</f>
        <v>0</v>
      </c>
      <c r="E34" s="344">
        <f t="shared" si="19"/>
        <v>0</v>
      </c>
      <c r="F34" s="343">
        <f>'ENCARGOS SOCIAIS'!$C$26</f>
        <v>0</v>
      </c>
      <c r="G34" s="344">
        <f>ROUND((F34*$F$8),2)</f>
        <v>0</v>
      </c>
      <c r="H34" s="343">
        <f>'ENCARGOS SOCIAIS'!$C$26</f>
        <v>0</v>
      </c>
      <c r="I34" s="344">
        <f t="shared" ref="I34" si="27">ROUND((H34*$D$8),2)</f>
        <v>0</v>
      </c>
      <c r="J34" s="343">
        <f>'ENCARGOS SOCIAIS'!$C$26</f>
        <v>0</v>
      </c>
      <c r="K34" s="344">
        <f t="shared" si="21"/>
        <v>0</v>
      </c>
      <c r="L34" s="343">
        <f>'ENCARGOS SOCIAIS'!$C$26</f>
        <v>0</v>
      </c>
      <c r="M34" s="344">
        <f t="shared" si="22"/>
        <v>0</v>
      </c>
      <c r="N34" s="343">
        <f>'ENCARGOS SOCIAIS'!$C$26</f>
        <v>0</v>
      </c>
      <c r="O34" s="344">
        <f t="shared" si="23"/>
        <v>0</v>
      </c>
      <c r="P34" s="343">
        <f>'ENCARGOS SOCIAIS'!$C$26</f>
        <v>0</v>
      </c>
      <c r="Q34" s="344">
        <f t="shared" si="24"/>
        <v>0</v>
      </c>
      <c r="R34" s="343">
        <f>'ENCARGOS SOCIAIS'!$C$26</f>
        <v>0</v>
      </c>
      <c r="S34" s="344">
        <f t="shared" si="25"/>
        <v>0</v>
      </c>
    </row>
    <row r="35" spans="1:21" s="144" customFormat="1" ht="12" x14ac:dyDescent="0.25">
      <c r="A35" s="340" t="s">
        <v>194</v>
      </c>
      <c r="B35" s="341" t="s">
        <v>195</v>
      </c>
      <c r="C35" s="342"/>
      <c r="D35" s="343">
        <f>'ENCARGOS SOCIAIS'!$C$27</f>
        <v>0</v>
      </c>
      <c r="E35" s="344">
        <f t="shared" si="19"/>
        <v>0</v>
      </c>
      <c r="F35" s="343">
        <f>'ENCARGOS SOCIAIS'!$C$27</f>
        <v>0</v>
      </c>
      <c r="G35" s="344">
        <f>ROUND((F35*$F$8),2)</f>
        <v>0</v>
      </c>
      <c r="H35" s="343">
        <f>'ENCARGOS SOCIAIS'!$C$27</f>
        <v>0</v>
      </c>
      <c r="I35" s="344">
        <f t="shared" ref="I35" si="28">ROUND((H35*$D$8),2)</f>
        <v>0</v>
      </c>
      <c r="J35" s="343">
        <f>'ENCARGOS SOCIAIS'!$C$27</f>
        <v>0</v>
      </c>
      <c r="K35" s="344">
        <f t="shared" si="21"/>
        <v>0</v>
      </c>
      <c r="L35" s="343">
        <f>'ENCARGOS SOCIAIS'!$C$27</f>
        <v>0</v>
      </c>
      <c r="M35" s="344">
        <f t="shared" si="22"/>
        <v>0</v>
      </c>
      <c r="N35" s="343">
        <f>'ENCARGOS SOCIAIS'!$C$27</f>
        <v>0</v>
      </c>
      <c r="O35" s="344">
        <f t="shared" si="23"/>
        <v>0</v>
      </c>
      <c r="P35" s="343">
        <f>'ENCARGOS SOCIAIS'!$C$27</f>
        <v>0</v>
      </c>
      <c r="Q35" s="344">
        <f t="shared" si="24"/>
        <v>0</v>
      </c>
      <c r="R35" s="343">
        <f>'ENCARGOS SOCIAIS'!$C$27</f>
        <v>0</v>
      </c>
      <c r="S35" s="344">
        <f t="shared" si="25"/>
        <v>0</v>
      </c>
    </row>
    <row r="36" spans="1:21" s="144" customFormat="1" ht="12" x14ac:dyDescent="0.25">
      <c r="A36" s="335" t="s">
        <v>196</v>
      </c>
      <c r="B36" s="336" t="s">
        <v>197</v>
      </c>
      <c r="C36" s="345"/>
      <c r="D36" s="338">
        <f>SUM(D37:D38)</f>
        <v>0</v>
      </c>
      <c r="E36" s="339">
        <f t="shared" ref="E36:S36" si="29">SUM(E37:E38)</f>
        <v>0</v>
      </c>
      <c r="F36" s="338">
        <f>SUM(F37:F38)</f>
        <v>0</v>
      </c>
      <c r="G36" s="339">
        <f t="shared" si="29"/>
        <v>0</v>
      </c>
      <c r="H36" s="338">
        <f>SUM(H37:H38)</f>
        <v>0</v>
      </c>
      <c r="I36" s="339">
        <f t="shared" si="29"/>
        <v>0</v>
      </c>
      <c r="J36" s="338">
        <f>SUM(J37:J38)</f>
        <v>0</v>
      </c>
      <c r="K36" s="339">
        <f t="shared" si="29"/>
        <v>0</v>
      </c>
      <c r="L36" s="338">
        <f>SUM(L37:L38)</f>
        <v>0</v>
      </c>
      <c r="M36" s="339">
        <f t="shared" si="29"/>
        <v>0</v>
      </c>
      <c r="N36" s="338">
        <f>SUM(N37:N38)</f>
        <v>0</v>
      </c>
      <c r="O36" s="339">
        <f t="shared" si="29"/>
        <v>0</v>
      </c>
      <c r="P36" s="338">
        <f>SUM(P37:P38)</f>
        <v>0</v>
      </c>
      <c r="Q36" s="339">
        <f t="shared" si="29"/>
        <v>0</v>
      </c>
      <c r="R36" s="338">
        <f>SUM(R37:R38)</f>
        <v>0</v>
      </c>
      <c r="S36" s="339">
        <f t="shared" si="29"/>
        <v>0</v>
      </c>
    </row>
    <row r="37" spans="1:21" s="144" customFormat="1" ht="12" x14ac:dyDescent="0.25">
      <c r="A37" s="340" t="s">
        <v>198</v>
      </c>
      <c r="B37" s="341" t="s">
        <v>199</v>
      </c>
      <c r="C37" s="342"/>
      <c r="D37" s="343">
        <f>'ENCARGOS SOCIAIS'!$C$29</f>
        <v>0</v>
      </c>
      <c r="E37" s="344">
        <f>ROUND((D37*$D$8),2)</f>
        <v>0</v>
      </c>
      <c r="F37" s="343">
        <f>'ENCARGOS SOCIAIS'!$C$29</f>
        <v>0</v>
      </c>
      <c r="G37" s="344">
        <f>ROUND((F37*$F$8),2)</f>
        <v>0</v>
      </c>
      <c r="H37" s="343">
        <f>'ENCARGOS SOCIAIS'!$C$29</f>
        <v>0</v>
      </c>
      <c r="I37" s="344">
        <f>ROUND((H37*$H$8),2)</f>
        <v>0</v>
      </c>
      <c r="J37" s="343">
        <f>'ENCARGOS SOCIAIS'!$C$29</f>
        <v>0</v>
      </c>
      <c r="K37" s="344">
        <f>ROUND((J37*$J$8),2)</f>
        <v>0</v>
      </c>
      <c r="L37" s="343">
        <f>'ENCARGOS SOCIAIS'!$C$29</f>
        <v>0</v>
      </c>
      <c r="M37" s="344">
        <f>ROUND((L37*$L$8),2)</f>
        <v>0</v>
      </c>
      <c r="N37" s="343">
        <f>'ENCARGOS SOCIAIS'!$C$29</f>
        <v>0</v>
      </c>
      <c r="O37" s="344">
        <f>ROUND((N37*$N$8),2)</f>
        <v>0</v>
      </c>
      <c r="P37" s="343">
        <f>'ENCARGOS SOCIAIS'!$C$29</f>
        <v>0</v>
      </c>
      <c r="Q37" s="344">
        <f>ROUND((P37*$P$8),2)</f>
        <v>0</v>
      </c>
      <c r="R37" s="343">
        <f>'ENCARGOS SOCIAIS'!$C$29</f>
        <v>0</v>
      </c>
      <c r="S37" s="344">
        <f>ROUND((R37*$R$8),2)</f>
        <v>0</v>
      </c>
    </row>
    <row r="38" spans="1:21" s="144" customFormat="1" ht="18" x14ac:dyDescent="0.25">
      <c r="A38" s="340" t="s">
        <v>200</v>
      </c>
      <c r="B38" s="341" t="s">
        <v>201</v>
      </c>
      <c r="C38" s="346"/>
      <c r="D38" s="343">
        <f>'ENCARGOS SOCIAIS'!$C$30</f>
        <v>0</v>
      </c>
      <c r="E38" s="344">
        <f>ROUND((D38*$D$8),2)</f>
        <v>0</v>
      </c>
      <c r="F38" s="343">
        <f>'ENCARGOS SOCIAIS'!$C$30</f>
        <v>0</v>
      </c>
      <c r="G38" s="344">
        <f>ROUND((F38*$F$8),2)</f>
        <v>0</v>
      </c>
      <c r="H38" s="343">
        <f>'ENCARGOS SOCIAIS'!$C$30</f>
        <v>0</v>
      </c>
      <c r="I38" s="344">
        <f>ROUND((H38*$H$8),2)</f>
        <v>0</v>
      </c>
      <c r="J38" s="343">
        <f>'ENCARGOS SOCIAIS'!$C$30</f>
        <v>0</v>
      </c>
      <c r="K38" s="344">
        <f>ROUND((J38*$J$8),2)</f>
        <v>0</v>
      </c>
      <c r="L38" s="343">
        <f>'ENCARGOS SOCIAIS'!$C$30</f>
        <v>0</v>
      </c>
      <c r="M38" s="344">
        <f>ROUND((L38*$L$8),2)</f>
        <v>0</v>
      </c>
      <c r="N38" s="343">
        <f>'ENCARGOS SOCIAIS'!$C$30</f>
        <v>0</v>
      </c>
      <c r="O38" s="344">
        <f>ROUND((N38*$N$8),2)</f>
        <v>0</v>
      </c>
      <c r="P38" s="343">
        <f>'ENCARGOS SOCIAIS'!$C$30</f>
        <v>0</v>
      </c>
      <c r="Q38" s="344">
        <f>ROUND((P38*$P$8),2)</f>
        <v>0</v>
      </c>
      <c r="R38" s="343">
        <f>'ENCARGOS SOCIAIS'!$C$30</f>
        <v>0</v>
      </c>
      <c r="S38" s="344">
        <f>ROUND((R38*$R$8),2)</f>
        <v>0</v>
      </c>
    </row>
    <row r="39" spans="1:21" s="144" customFormat="1" ht="12" x14ac:dyDescent="0.25">
      <c r="A39" s="741" t="s">
        <v>202</v>
      </c>
      <c r="B39" s="742"/>
      <c r="C39" s="333"/>
      <c r="D39" s="347">
        <f>D36+D30+D22+D12</f>
        <v>0</v>
      </c>
      <c r="E39" s="348">
        <f t="shared" ref="E39" si="30">E36+E30+E22+E12</f>
        <v>0</v>
      </c>
      <c r="F39" s="347">
        <f>F36+F30+F22+F12</f>
        <v>0</v>
      </c>
      <c r="G39" s="348">
        <f>G36+G30+G22+G12</f>
        <v>0</v>
      </c>
      <c r="H39" s="347">
        <f>H36+H30+H22+H12</f>
        <v>0</v>
      </c>
      <c r="I39" s="348">
        <f t="shared" ref="I39" si="31">I36+I30+I22+I12</f>
        <v>0</v>
      </c>
      <c r="J39" s="347">
        <f>J36+J30+J22+J12</f>
        <v>0</v>
      </c>
      <c r="K39" s="348">
        <f t="shared" ref="K39" si="32">K36+K30+K22+K12</f>
        <v>0</v>
      </c>
      <c r="L39" s="347">
        <f>L36+L30+L22+L12</f>
        <v>0</v>
      </c>
      <c r="M39" s="348">
        <f t="shared" ref="M39" si="33">M36+M30+M22+M12</f>
        <v>0</v>
      </c>
      <c r="N39" s="347">
        <f>N36+N30+N22+N12</f>
        <v>0</v>
      </c>
      <c r="O39" s="348">
        <f t="shared" ref="O39" si="34">O36+O30+O22+O12</f>
        <v>0</v>
      </c>
      <c r="P39" s="347">
        <f>P36+P30+P22+P12</f>
        <v>0</v>
      </c>
      <c r="Q39" s="348">
        <f t="shared" ref="Q39" si="35">Q36+Q30+Q22+Q12</f>
        <v>0</v>
      </c>
      <c r="R39" s="347">
        <f>R36+R30+R22+R12</f>
        <v>0</v>
      </c>
      <c r="S39" s="348">
        <f t="shared" ref="S39" si="36">S36+S30+S22+S12</f>
        <v>0</v>
      </c>
    </row>
    <row r="40" spans="1:21" s="144" customFormat="1" ht="12" x14ac:dyDescent="0.25">
      <c r="A40" s="340"/>
      <c r="B40" s="349"/>
      <c r="C40" s="350"/>
      <c r="D40" s="340"/>
      <c r="E40" s="351"/>
      <c r="F40" s="340"/>
      <c r="G40" s="351"/>
      <c r="H40" s="340"/>
      <c r="I40" s="351"/>
      <c r="J40" s="340"/>
      <c r="K40" s="351"/>
      <c r="L40" s="340"/>
      <c r="M40" s="351"/>
      <c r="N40" s="340"/>
      <c r="O40" s="351"/>
      <c r="P40" s="340"/>
      <c r="Q40" s="351"/>
      <c r="R40" s="340"/>
      <c r="S40" s="351"/>
    </row>
    <row r="41" spans="1:21" s="144" customFormat="1" ht="12" x14ac:dyDescent="0.25">
      <c r="A41" s="331">
        <v>6</v>
      </c>
      <c r="B41" s="352" t="s">
        <v>203</v>
      </c>
      <c r="C41" s="333"/>
      <c r="D41" s="331" t="s">
        <v>146</v>
      </c>
      <c r="E41" s="334" t="s">
        <v>147</v>
      </c>
      <c r="F41" s="331" t="s">
        <v>146</v>
      </c>
      <c r="G41" s="334" t="s">
        <v>147</v>
      </c>
      <c r="H41" s="331" t="s">
        <v>146</v>
      </c>
      <c r="I41" s="334" t="s">
        <v>147</v>
      </c>
      <c r="J41" s="331" t="s">
        <v>146</v>
      </c>
      <c r="K41" s="334" t="s">
        <v>147</v>
      </c>
      <c r="L41" s="331" t="s">
        <v>146</v>
      </c>
      <c r="M41" s="334" t="s">
        <v>147</v>
      </c>
      <c r="N41" s="331" t="s">
        <v>146</v>
      </c>
      <c r="O41" s="334" t="s">
        <v>147</v>
      </c>
      <c r="P41" s="331" t="s">
        <v>146</v>
      </c>
      <c r="Q41" s="334" t="s">
        <v>147</v>
      </c>
      <c r="R41" s="331" t="s">
        <v>146</v>
      </c>
      <c r="S41" s="334" t="s">
        <v>147</v>
      </c>
    </row>
    <row r="42" spans="1:21" s="144" customFormat="1" ht="12" x14ac:dyDescent="0.25">
      <c r="A42" s="340" t="s">
        <v>204</v>
      </c>
      <c r="B42" s="341" t="s">
        <v>205</v>
      </c>
      <c r="C42" s="342"/>
      <c r="D42" s="343" t="e">
        <f>E42/$D$8</f>
        <v>#DIV/0!</v>
      </c>
      <c r="E42" s="344">
        <v>0</v>
      </c>
      <c r="F42" s="343" t="e">
        <f>G42/$F$8</f>
        <v>#DIV/0!</v>
      </c>
      <c r="G42" s="344">
        <v>0</v>
      </c>
      <c r="H42" s="343" t="e">
        <f>I42/$H$8</f>
        <v>#DIV/0!</v>
      </c>
      <c r="I42" s="344">
        <v>0</v>
      </c>
      <c r="J42" s="343" t="e">
        <f>K42/$J$8</f>
        <v>#DIV/0!</v>
      </c>
      <c r="K42" s="344">
        <v>0</v>
      </c>
      <c r="L42" s="343" t="e">
        <f>M42/$L$8</f>
        <v>#DIV/0!</v>
      </c>
      <c r="M42" s="344">
        <f>'[1]ENCARGOS COMPLEMENTARES'!I10</f>
        <v>399.66</v>
      </c>
      <c r="N42" s="343" t="e">
        <f>O42/$N$8</f>
        <v>#DIV/0!</v>
      </c>
      <c r="O42" s="344">
        <f>'[1]ENCARGOS COMPLEMENTARES'!I10</f>
        <v>399.66</v>
      </c>
      <c r="P42" s="343" t="e">
        <f>Q42/$P$8</f>
        <v>#DIV/0!</v>
      </c>
      <c r="Q42" s="344">
        <f>'[1]ENCARGOS COMPLEMENTARES'!I10</f>
        <v>399.66</v>
      </c>
      <c r="R42" s="343" t="e">
        <f>S42/$R$8</f>
        <v>#DIV/0!</v>
      </c>
      <c r="S42" s="344">
        <f>'[1]ENCARGOS COMPLEMENTARES'!I10</f>
        <v>399.66</v>
      </c>
    </row>
    <row r="43" spans="1:21" s="144" customFormat="1" ht="12" x14ac:dyDescent="0.25">
      <c r="A43" s="340" t="s">
        <v>206</v>
      </c>
      <c r="B43" s="341" t="s">
        <v>207</v>
      </c>
      <c r="C43" s="342"/>
      <c r="D43" s="343" t="e">
        <f t="shared" ref="D43:D46" si="37">E43/$D$8</f>
        <v>#DIV/0!</v>
      </c>
      <c r="E43" s="344">
        <v>0</v>
      </c>
      <c r="F43" s="343" t="e">
        <f t="shared" ref="F43:F47" si="38">G43/$F$8</f>
        <v>#DIV/0!</v>
      </c>
      <c r="G43" s="344">
        <v>0</v>
      </c>
      <c r="H43" s="343" t="e">
        <f t="shared" ref="H43:H47" si="39">I43/$H$8</f>
        <v>#DIV/0!</v>
      </c>
      <c r="I43" s="344">
        <v>0</v>
      </c>
      <c r="J43" s="343" t="e">
        <f t="shared" ref="J43:J47" si="40">K43/$J$8</f>
        <v>#DIV/0!</v>
      </c>
      <c r="K43" s="344">
        <v>0</v>
      </c>
      <c r="L43" s="343" t="e">
        <f t="shared" ref="L43:L47" si="41">M43/$L$8</f>
        <v>#DIV/0!</v>
      </c>
      <c r="M43" s="344">
        <f>'[1]ENCARGOS COMPLEMENTARES'!I20</f>
        <v>162.4</v>
      </c>
      <c r="N43" s="343" t="e">
        <f t="shared" ref="N43:N47" si="42">O43/$N$8</f>
        <v>#DIV/0!</v>
      </c>
      <c r="O43" s="344">
        <f>'[1]ENCARGOS COMPLEMENTARES'!I20</f>
        <v>162.4</v>
      </c>
      <c r="P43" s="343" t="e">
        <f t="shared" ref="P43:P47" si="43">Q43/$P$8</f>
        <v>#DIV/0!</v>
      </c>
      <c r="Q43" s="344">
        <f>'[1]ENCARGOS COMPLEMENTARES'!I20</f>
        <v>162.4</v>
      </c>
      <c r="R43" s="343" t="e">
        <f t="shared" ref="R43:R47" si="44">S43/$R$8</f>
        <v>#DIV/0!</v>
      </c>
      <c r="S43" s="344">
        <f>'[1]ENCARGOS COMPLEMENTARES'!I20</f>
        <v>162.4</v>
      </c>
    </row>
    <row r="44" spans="1:21" s="144" customFormat="1" ht="12" x14ac:dyDescent="0.25">
      <c r="A44" s="340" t="s">
        <v>208</v>
      </c>
      <c r="B44" s="341" t="s">
        <v>209</v>
      </c>
      <c r="C44" s="342"/>
      <c r="D44" s="343" t="e">
        <f t="shared" si="37"/>
        <v>#DIV/0!</v>
      </c>
      <c r="E44" s="344">
        <f>'[1]ENCARGOS COMPLEMENTARES'!I50</f>
        <v>160.58000000000001</v>
      </c>
      <c r="F44" s="343" t="e">
        <f t="shared" si="38"/>
        <v>#DIV/0!</v>
      </c>
      <c r="G44" s="344">
        <f>'[1]ENCARGOS COMPLEMENTARES'!I40</f>
        <v>113.38</v>
      </c>
      <c r="H44" s="343" t="e">
        <f t="shared" si="39"/>
        <v>#DIV/0!</v>
      </c>
      <c r="I44" s="344">
        <f>'[1]ENCARGOS COMPLEMENTARES'!I40</f>
        <v>113.38</v>
      </c>
      <c r="J44" s="343" t="e">
        <f t="shared" si="40"/>
        <v>#DIV/0!</v>
      </c>
      <c r="K44" s="344">
        <f>'[1]ENCARGOS COMPLEMENTARES'!I40</f>
        <v>113.38</v>
      </c>
      <c r="L44" s="343" t="e">
        <f t="shared" si="41"/>
        <v>#DIV/0!</v>
      </c>
      <c r="M44" s="344">
        <f>'[1]ENCARGOS COMPLEMENTARES'!I72</f>
        <v>160.63</v>
      </c>
      <c r="N44" s="343" t="e">
        <f t="shared" si="42"/>
        <v>#DIV/0!</v>
      </c>
      <c r="O44" s="344">
        <v>0</v>
      </c>
      <c r="P44" s="343" t="e">
        <f t="shared" si="43"/>
        <v>#DIV/0!</v>
      </c>
      <c r="Q44" s="344">
        <f>'[1]ENCARGOS COMPLEMENTARES'!I62</f>
        <v>200.05</v>
      </c>
      <c r="R44" s="343" t="e">
        <f t="shared" si="44"/>
        <v>#DIV/0!</v>
      </c>
      <c r="S44" s="344">
        <f>'[1]ENCARGOS COMPLEMENTARES'!I100</f>
        <v>199.22</v>
      </c>
    </row>
    <row r="45" spans="1:21" s="144" customFormat="1" ht="12" x14ac:dyDescent="0.25">
      <c r="A45" s="340" t="s">
        <v>210</v>
      </c>
      <c r="B45" s="341" t="s">
        <v>211</v>
      </c>
      <c r="C45" s="342"/>
      <c r="D45" s="343" t="e">
        <f t="shared" si="37"/>
        <v>#DIV/0!</v>
      </c>
      <c r="E45" s="344">
        <f>'[1]ENCARGOS COMPLEMENTARES'!I122</f>
        <v>2.35</v>
      </c>
      <c r="F45" s="343" t="e">
        <f t="shared" si="38"/>
        <v>#DIV/0!</v>
      </c>
      <c r="G45" s="344">
        <v>0</v>
      </c>
      <c r="H45" s="343" t="e">
        <f t="shared" si="39"/>
        <v>#DIV/0!</v>
      </c>
      <c r="I45" s="344">
        <v>0</v>
      </c>
      <c r="J45" s="343" t="e">
        <f t="shared" si="40"/>
        <v>#DIV/0!</v>
      </c>
      <c r="K45" s="344">
        <v>0</v>
      </c>
      <c r="L45" s="343" t="e">
        <f t="shared" si="41"/>
        <v>#DIV/0!</v>
      </c>
      <c r="M45" s="344">
        <f>'[1]ENCARGOS COMPLEMENTARES'!I151</f>
        <v>16.8</v>
      </c>
      <c r="N45" s="343" t="e">
        <f t="shared" si="42"/>
        <v>#DIV/0!</v>
      </c>
      <c r="O45" s="344">
        <v>0</v>
      </c>
      <c r="P45" s="343" t="e">
        <f t="shared" si="43"/>
        <v>#DIV/0!</v>
      </c>
      <c r="Q45" s="344">
        <f>'[1]ENCARGOS COMPLEMENTARES'!I140</f>
        <v>84.87</v>
      </c>
      <c r="R45" s="343" t="e">
        <f t="shared" si="44"/>
        <v>#DIV/0!</v>
      </c>
      <c r="S45" s="344">
        <f>'[1]ENCARGOS COMPLEMENTARES'!I193</f>
        <v>114.77</v>
      </c>
    </row>
    <row r="46" spans="1:21" s="144" customFormat="1" ht="12" x14ac:dyDescent="0.25">
      <c r="A46" s="340" t="s">
        <v>212</v>
      </c>
      <c r="B46" s="341" t="s">
        <v>213</v>
      </c>
      <c r="C46" s="342"/>
      <c r="D46" s="343" t="e">
        <f t="shared" si="37"/>
        <v>#DIV/0!</v>
      </c>
      <c r="E46" s="344">
        <f>'[1]ENCARGOS COMPLEMENTARES'!I205</f>
        <v>270.51</v>
      </c>
      <c r="F46" s="343" t="e">
        <f>G46/$F$8</f>
        <v>#DIV/0!</v>
      </c>
      <c r="G46" s="344">
        <f>'[1]ENCARGOS COMPLEMENTARES'!I205</f>
        <v>270.51</v>
      </c>
      <c r="H46" s="343" t="e">
        <f t="shared" si="39"/>
        <v>#DIV/0!</v>
      </c>
      <c r="I46" s="344">
        <f>'[1]ENCARGOS COMPLEMENTARES'!I205</f>
        <v>270.51</v>
      </c>
      <c r="J46" s="343" t="e">
        <f t="shared" si="40"/>
        <v>#DIV/0!</v>
      </c>
      <c r="K46" s="344">
        <f>'[1]ENCARGOS COMPLEMENTARES'!I205</f>
        <v>270.51</v>
      </c>
      <c r="L46" s="343" t="e">
        <f t="shared" si="41"/>
        <v>#DIV/0!</v>
      </c>
      <c r="M46" s="344">
        <f>'[1]ENCARGOS COMPLEMENTARES'!I205</f>
        <v>270.51</v>
      </c>
      <c r="N46" s="343" t="e">
        <f t="shared" si="42"/>
        <v>#DIV/0!</v>
      </c>
      <c r="O46" s="344">
        <f>'[1]ENCARGOS COMPLEMENTARES'!I205</f>
        <v>270.51</v>
      </c>
      <c r="P46" s="343" t="e">
        <f t="shared" si="43"/>
        <v>#DIV/0!</v>
      </c>
      <c r="Q46" s="344">
        <f>'[1]ENCARGOS COMPLEMENTARES'!I205</f>
        <v>270.51</v>
      </c>
      <c r="R46" s="343" t="e">
        <f t="shared" si="44"/>
        <v>#DIV/0!</v>
      </c>
      <c r="S46" s="344">
        <f>'[1]ENCARGOS COMPLEMENTARES'!I205</f>
        <v>270.51</v>
      </c>
    </row>
    <row r="47" spans="1:21" s="144" customFormat="1" ht="12" x14ac:dyDescent="0.25">
      <c r="A47" s="340" t="s">
        <v>214</v>
      </c>
      <c r="B47" s="341" t="s">
        <v>215</v>
      </c>
      <c r="C47" s="342"/>
      <c r="D47" s="343" t="e">
        <f>E47/$D$8</f>
        <v>#DIV/0!</v>
      </c>
      <c r="E47" s="344">
        <f>'[1]ENCARGOS COMPLEMENTARES'!I216</f>
        <v>15.46</v>
      </c>
      <c r="F47" s="343" t="e">
        <f t="shared" si="38"/>
        <v>#DIV/0!</v>
      </c>
      <c r="G47" s="344">
        <f>'[1]ENCARGOS COMPLEMENTARES'!I216</f>
        <v>15.46</v>
      </c>
      <c r="H47" s="343" t="e">
        <f t="shared" si="39"/>
        <v>#DIV/0!</v>
      </c>
      <c r="I47" s="344">
        <f>'[1]ENCARGOS COMPLEMENTARES'!I216</f>
        <v>15.46</v>
      </c>
      <c r="J47" s="343" t="e">
        <f t="shared" si="40"/>
        <v>#DIV/0!</v>
      </c>
      <c r="K47" s="344">
        <f>'[1]ENCARGOS COMPLEMENTARES'!I216</f>
        <v>15.46</v>
      </c>
      <c r="L47" s="343" t="e">
        <f t="shared" si="41"/>
        <v>#DIV/0!</v>
      </c>
      <c r="M47" s="344">
        <f>'[1]ENCARGOS COMPLEMENTARES'!I216</f>
        <v>15.46</v>
      </c>
      <c r="N47" s="343" t="e">
        <f t="shared" si="42"/>
        <v>#DIV/0!</v>
      </c>
      <c r="O47" s="344">
        <f>'[1]ENCARGOS COMPLEMENTARES'!I216</f>
        <v>15.46</v>
      </c>
      <c r="P47" s="343" t="e">
        <f t="shared" si="43"/>
        <v>#DIV/0!</v>
      </c>
      <c r="Q47" s="344">
        <f>'[1]ENCARGOS COMPLEMENTARES'!I216</f>
        <v>15.46</v>
      </c>
      <c r="R47" s="343" t="e">
        <f t="shared" si="44"/>
        <v>#DIV/0!</v>
      </c>
      <c r="S47" s="344">
        <f>'[1]ENCARGOS COMPLEMENTARES'!I216</f>
        <v>15.46</v>
      </c>
    </row>
    <row r="48" spans="1:21" s="144" customFormat="1" ht="12" x14ac:dyDescent="0.25">
      <c r="A48" s="741" t="s">
        <v>216</v>
      </c>
      <c r="B48" s="742"/>
      <c r="C48" s="333"/>
      <c r="D48" s="347" t="e">
        <f>SUM(D42:D47)</f>
        <v>#DIV/0!</v>
      </c>
      <c r="E48" s="348">
        <f t="shared" ref="E48:S48" si="45">SUM(E42:E47)</f>
        <v>448.9</v>
      </c>
      <c r="F48" s="347" t="e">
        <f t="shared" si="45"/>
        <v>#DIV/0!</v>
      </c>
      <c r="G48" s="348">
        <f t="shared" si="45"/>
        <v>399.34999999999997</v>
      </c>
      <c r="H48" s="347" t="e">
        <f t="shared" si="45"/>
        <v>#DIV/0!</v>
      </c>
      <c r="I48" s="348">
        <f t="shared" si="45"/>
        <v>399.34999999999997</v>
      </c>
      <c r="J48" s="347" t="e">
        <f t="shared" si="45"/>
        <v>#DIV/0!</v>
      </c>
      <c r="K48" s="348">
        <f t="shared" si="45"/>
        <v>399.34999999999997</v>
      </c>
      <c r="L48" s="347" t="e">
        <f t="shared" si="45"/>
        <v>#DIV/0!</v>
      </c>
      <c r="M48" s="348">
        <f t="shared" si="45"/>
        <v>1025.46</v>
      </c>
      <c r="N48" s="347" t="e">
        <f t="shared" si="45"/>
        <v>#DIV/0!</v>
      </c>
      <c r="O48" s="348">
        <f t="shared" si="45"/>
        <v>848.03000000000009</v>
      </c>
      <c r="P48" s="347" t="e">
        <f t="shared" si="45"/>
        <v>#DIV/0!</v>
      </c>
      <c r="Q48" s="348">
        <f t="shared" si="45"/>
        <v>1132.9500000000003</v>
      </c>
      <c r="R48" s="347" t="e">
        <f t="shared" si="45"/>
        <v>#DIV/0!</v>
      </c>
      <c r="S48" s="348">
        <f t="shared" si="45"/>
        <v>1162.02</v>
      </c>
      <c r="U48" s="305"/>
    </row>
    <row r="49" spans="1:19" s="144" customFormat="1" ht="12" x14ac:dyDescent="0.25">
      <c r="A49" s="340"/>
      <c r="B49" s="349"/>
      <c r="C49" s="350"/>
      <c r="D49" s="340"/>
      <c r="E49" s="351"/>
      <c r="F49" s="340"/>
      <c r="G49" s="351"/>
      <c r="H49" s="340"/>
      <c r="I49" s="351"/>
      <c r="J49" s="340"/>
      <c r="K49" s="351"/>
      <c r="L49" s="340"/>
      <c r="M49" s="351"/>
      <c r="N49" s="340"/>
      <c r="O49" s="351"/>
      <c r="P49" s="340"/>
      <c r="Q49" s="351"/>
      <c r="R49" s="340"/>
      <c r="S49" s="351"/>
    </row>
    <row r="50" spans="1:19" s="144" customFormat="1" ht="12" x14ac:dyDescent="0.25">
      <c r="A50" s="743" t="s">
        <v>217</v>
      </c>
      <c r="B50" s="744"/>
      <c r="C50" s="333"/>
      <c r="D50" s="353" t="e">
        <f>D48+D39</f>
        <v>#DIV/0!</v>
      </c>
      <c r="E50" s="354">
        <f t="shared" ref="E50:S50" si="46">E48+E39</f>
        <v>448.9</v>
      </c>
      <c r="F50" s="353" t="e">
        <f t="shared" si="46"/>
        <v>#DIV/0!</v>
      </c>
      <c r="G50" s="354">
        <f t="shared" si="46"/>
        <v>399.34999999999997</v>
      </c>
      <c r="H50" s="353" t="e">
        <f t="shared" si="46"/>
        <v>#DIV/0!</v>
      </c>
      <c r="I50" s="354">
        <f t="shared" si="46"/>
        <v>399.34999999999997</v>
      </c>
      <c r="J50" s="353" t="e">
        <f t="shared" si="46"/>
        <v>#DIV/0!</v>
      </c>
      <c r="K50" s="354">
        <f t="shared" si="46"/>
        <v>399.34999999999997</v>
      </c>
      <c r="L50" s="353" t="e">
        <f t="shared" si="46"/>
        <v>#DIV/0!</v>
      </c>
      <c r="M50" s="354">
        <f t="shared" si="46"/>
        <v>1025.46</v>
      </c>
      <c r="N50" s="353" t="e">
        <f t="shared" si="46"/>
        <v>#DIV/0!</v>
      </c>
      <c r="O50" s="354">
        <f t="shared" si="46"/>
        <v>848.03000000000009</v>
      </c>
      <c r="P50" s="353" t="e">
        <f t="shared" si="46"/>
        <v>#DIV/0!</v>
      </c>
      <c r="Q50" s="354">
        <f t="shared" si="46"/>
        <v>1132.9500000000003</v>
      </c>
      <c r="R50" s="353" t="e">
        <f t="shared" si="46"/>
        <v>#DIV/0!</v>
      </c>
      <c r="S50" s="354">
        <f t="shared" si="46"/>
        <v>1162.02</v>
      </c>
    </row>
    <row r="51" spans="1:19" s="144" customFormat="1" ht="75" customHeight="1" x14ac:dyDescent="0.25">
      <c r="A51" s="325"/>
      <c r="B51" s="326"/>
      <c r="C51" s="325"/>
      <c r="D51" s="327"/>
      <c r="E51" s="327"/>
      <c r="F51" s="327"/>
      <c r="G51" s="327"/>
      <c r="H51" s="327"/>
      <c r="I51" s="327"/>
      <c r="J51" s="327"/>
      <c r="K51" s="327"/>
      <c r="L51" s="327"/>
      <c r="M51" s="327"/>
      <c r="N51" s="327"/>
      <c r="O51" s="327"/>
      <c r="P51" s="327"/>
      <c r="Q51" s="327"/>
      <c r="R51" s="327"/>
      <c r="S51" s="327"/>
    </row>
    <row r="52" spans="1:19" s="144" customFormat="1" ht="12" x14ac:dyDescent="0.25">
      <c r="A52" s="355">
        <v>7</v>
      </c>
      <c r="B52" s="356" t="s">
        <v>218</v>
      </c>
      <c r="C52" s="149"/>
      <c r="D52" s="355"/>
      <c r="E52" s="357"/>
      <c r="F52" s="355"/>
      <c r="G52" s="357"/>
      <c r="H52" s="355"/>
      <c r="I52" s="357"/>
      <c r="J52" s="355"/>
      <c r="K52" s="357"/>
      <c r="L52" s="355"/>
      <c r="M52" s="357"/>
      <c r="N52" s="355"/>
      <c r="O52" s="357"/>
      <c r="P52" s="355"/>
      <c r="Q52" s="357"/>
      <c r="R52" s="355"/>
      <c r="S52" s="357"/>
    </row>
    <row r="53" spans="1:19" s="144" customFormat="1" ht="12" x14ac:dyDescent="0.25">
      <c r="A53" s="747" t="s">
        <v>219</v>
      </c>
      <c r="B53" s="748"/>
      <c r="C53" s="150"/>
      <c r="D53" s="358"/>
      <c r="E53" s="368" t="e">
        <f>D50</f>
        <v>#DIV/0!</v>
      </c>
      <c r="F53" s="369"/>
      <c r="G53" s="368" t="e">
        <f>F50</f>
        <v>#DIV/0!</v>
      </c>
      <c r="H53" s="369"/>
      <c r="I53" s="368" t="e">
        <f>H50</f>
        <v>#DIV/0!</v>
      </c>
      <c r="J53" s="369"/>
      <c r="K53" s="368" t="e">
        <f>J50</f>
        <v>#DIV/0!</v>
      </c>
      <c r="L53" s="369"/>
      <c r="M53" s="368" t="e">
        <f>L50</f>
        <v>#DIV/0!</v>
      </c>
      <c r="N53" s="369"/>
      <c r="O53" s="368" t="e">
        <f>N50</f>
        <v>#DIV/0!</v>
      </c>
      <c r="P53" s="369"/>
      <c r="Q53" s="368" t="e">
        <f>P50</f>
        <v>#DIV/0!</v>
      </c>
      <c r="R53" s="369"/>
      <c r="S53" s="368" t="e">
        <f>R50</f>
        <v>#DIV/0!</v>
      </c>
    </row>
    <row r="54" spans="1:19" s="144" customFormat="1" ht="12" x14ac:dyDescent="0.25">
      <c r="A54" s="739" t="s">
        <v>220</v>
      </c>
      <c r="B54" s="740"/>
      <c r="C54" s="150"/>
      <c r="D54" s="359"/>
      <c r="E54" s="360">
        <f>'FATOR K'!$K$7</f>
        <v>0</v>
      </c>
      <c r="F54" s="359"/>
      <c r="G54" s="360">
        <f>'FATOR K'!$K$7</f>
        <v>0</v>
      </c>
      <c r="H54" s="359"/>
      <c r="I54" s="360">
        <f>'FATOR K'!$K$7</f>
        <v>0</v>
      </c>
      <c r="J54" s="359"/>
      <c r="K54" s="360">
        <f>'FATOR K'!$K$7</f>
        <v>0</v>
      </c>
      <c r="L54" s="359"/>
      <c r="M54" s="360">
        <f>'FATOR K'!$K$7</f>
        <v>0</v>
      </c>
      <c r="N54" s="359"/>
      <c r="O54" s="360">
        <f>'FATOR K'!$K$7</f>
        <v>0</v>
      </c>
      <c r="P54" s="359"/>
      <c r="Q54" s="360">
        <f>'FATOR K'!$K$7</f>
        <v>0</v>
      </c>
      <c r="R54" s="359"/>
      <c r="S54" s="360">
        <f>'FATOR K'!$K$7</f>
        <v>0</v>
      </c>
    </row>
    <row r="55" spans="1:19" s="144" customFormat="1" ht="12" x14ac:dyDescent="0.25">
      <c r="A55" s="739" t="s">
        <v>221</v>
      </c>
      <c r="B55" s="740"/>
      <c r="C55" s="150"/>
      <c r="D55" s="359"/>
      <c r="E55" s="360">
        <f>'FATOR K'!$K$8</f>
        <v>0</v>
      </c>
      <c r="F55" s="359"/>
      <c r="G55" s="360">
        <f>'FATOR K'!$K$8</f>
        <v>0</v>
      </c>
      <c r="H55" s="359"/>
      <c r="I55" s="360">
        <f>'FATOR K'!$K$8</f>
        <v>0</v>
      </c>
      <c r="J55" s="359"/>
      <c r="K55" s="360">
        <f>'FATOR K'!$K$8</f>
        <v>0</v>
      </c>
      <c r="L55" s="359"/>
      <c r="M55" s="360">
        <f>'FATOR K'!$K$8</f>
        <v>0</v>
      </c>
      <c r="N55" s="359"/>
      <c r="O55" s="360">
        <f>'FATOR K'!$K$8</f>
        <v>0</v>
      </c>
      <c r="P55" s="359"/>
      <c r="Q55" s="360">
        <f>'FATOR K'!$K$8</f>
        <v>0</v>
      </c>
      <c r="R55" s="359"/>
      <c r="S55" s="360">
        <f>'FATOR K'!$K$8</f>
        <v>0</v>
      </c>
    </row>
    <row r="56" spans="1:19" s="144" customFormat="1" ht="12" x14ac:dyDescent="0.25">
      <c r="A56" s="739" t="s">
        <v>222</v>
      </c>
      <c r="B56" s="740"/>
      <c r="C56" s="150"/>
      <c r="D56" s="359"/>
      <c r="E56" s="360">
        <f>'FATOR K'!$K$9</f>
        <v>0</v>
      </c>
      <c r="F56" s="359"/>
      <c r="G56" s="360">
        <f>'FATOR K'!$K$9</f>
        <v>0</v>
      </c>
      <c r="H56" s="359"/>
      <c r="I56" s="360">
        <f>'FATOR K'!$K$9</f>
        <v>0</v>
      </c>
      <c r="J56" s="359"/>
      <c r="K56" s="360">
        <f>'FATOR K'!$K$9</f>
        <v>0</v>
      </c>
      <c r="L56" s="359"/>
      <c r="M56" s="360">
        <f>'FATOR K'!$K$9</f>
        <v>0</v>
      </c>
      <c r="N56" s="359"/>
      <c r="O56" s="360">
        <f>'FATOR K'!$K$9</f>
        <v>0</v>
      </c>
      <c r="P56" s="359"/>
      <c r="Q56" s="360">
        <f>'FATOR K'!$K$9</f>
        <v>0</v>
      </c>
      <c r="R56" s="359"/>
      <c r="S56" s="360">
        <f>'FATOR K'!$K$9</f>
        <v>0</v>
      </c>
    </row>
    <row r="57" spans="1:19" s="144" customFormat="1" ht="27.75" customHeight="1" x14ac:dyDescent="0.25">
      <c r="A57" s="739" t="s">
        <v>223</v>
      </c>
      <c r="B57" s="740"/>
      <c r="C57" s="150"/>
      <c r="D57" s="359"/>
      <c r="E57" s="360">
        <f>'FATOR K'!$K$10</f>
        <v>0</v>
      </c>
      <c r="F57" s="359"/>
      <c r="G57" s="360">
        <f>'FATOR K'!$K$10</f>
        <v>0</v>
      </c>
      <c r="H57" s="359"/>
      <c r="I57" s="360">
        <f>'FATOR K'!$K$10</f>
        <v>0</v>
      </c>
      <c r="J57" s="359"/>
      <c r="K57" s="360">
        <f>'FATOR K'!$K$10</f>
        <v>0</v>
      </c>
      <c r="L57" s="359"/>
      <c r="M57" s="360">
        <f>'FATOR K'!$K$10</f>
        <v>0</v>
      </c>
      <c r="N57" s="359"/>
      <c r="O57" s="360">
        <f>'FATOR K'!$K$10</f>
        <v>0</v>
      </c>
      <c r="P57" s="359"/>
      <c r="Q57" s="360">
        <f>'FATOR K'!$K$10</f>
        <v>0</v>
      </c>
      <c r="R57" s="359"/>
      <c r="S57" s="360">
        <f>'FATOR K'!$K$10</f>
        <v>0</v>
      </c>
    </row>
    <row r="58" spans="1:19" s="144" customFormat="1" ht="12" x14ac:dyDescent="0.25">
      <c r="A58" s="739" t="s">
        <v>224</v>
      </c>
      <c r="B58" s="740"/>
      <c r="C58" s="150"/>
      <c r="D58" s="361">
        <f>'FATOR K'!$J$11</f>
        <v>0</v>
      </c>
      <c r="E58" s="360"/>
      <c r="F58" s="361">
        <f>'FATOR K'!$J$11</f>
        <v>0</v>
      </c>
      <c r="G58" s="360"/>
      <c r="H58" s="361">
        <f>'FATOR K'!$J$11</f>
        <v>0</v>
      </c>
      <c r="I58" s="360"/>
      <c r="J58" s="361">
        <f>'FATOR K'!$J$11</f>
        <v>0</v>
      </c>
      <c r="K58" s="360"/>
      <c r="L58" s="361">
        <f>'FATOR K'!$J$11</f>
        <v>0</v>
      </c>
      <c r="M58" s="360"/>
      <c r="N58" s="361">
        <f>'FATOR K'!$J$11</f>
        <v>0</v>
      </c>
      <c r="O58" s="360"/>
      <c r="P58" s="361">
        <f>'FATOR K'!$J$11</f>
        <v>0</v>
      </c>
      <c r="Q58" s="360"/>
      <c r="R58" s="361">
        <f>'FATOR K'!$J$11</f>
        <v>0</v>
      </c>
      <c r="S58" s="360"/>
    </row>
    <row r="59" spans="1:19" s="144" customFormat="1" ht="12" x14ac:dyDescent="0.25">
      <c r="A59" s="739" t="s">
        <v>225</v>
      </c>
      <c r="B59" s="740"/>
      <c r="C59" s="150"/>
      <c r="D59" s="361">
        <f>'FATOR K'!$J$12</f>
        <v>0</v>
      </c>
      <c r="E59" s="362"/>
      <c r="F59" s="361">
        <f>'FATOR K'!$J$12</f>
        <v>0</v>
      </c>
      <c r="G59" s="362"/>
      <c r="H59" s="361">
        <f>'FATOR K'!$J$12</f>
        <v>0</v>
      </c>
      <c r="I59" s="362"/>
      <c r="J59" s="361">
        <f>'FATOR K'!$J$12</f>
        <v>0</v>
      </c>
      <c r="K59" s="362"/>
      <c r="L59" s="361">
        <f>'FATOR K'!$J$12</f>
        <v>0</v>
      </c>
      <c r="M59" s="362"/>
      <c r="N59" s="361">
        <f>'FATOR K'!$J$12</f>
        <v>0</v>
      </c>
      <c r="O59" s="362"/>
      <c r="P59" s="361">
        <f>'FATOR K'!$J$12</f>
        <v>0</v>
      </c>
      <c r="Q59" s="362"/>
      <c r="R59" s="361">
        <f>'FATOR K'!$J$12</f>
        <v>0</v>
      </c>
      <c r="S59" s="362"/>
    </row>
    <row r="60" spans="1:19" s="144" customFormat="1" ht="12" x14ac:dyDescent="0.25">
      <c r="A60" s="739" t="s">
        <v>226</v>
      </c>
      <c r="B60" s="740"/>
      <c r="C60" s="150"/>
      <c r="D60" s="361">
        <f>'FATOR K'!$J$13</f>
        <v>0</v>
      </c>
      <c r="E60" s="362"/>
      <c r="F60" s="361">
        <f>'FATOR K'!$J$13</f>
        <v>0</v>
      </c>
      <c r="G60" s="362"/>
      <c r="H60" s="361">
        <f>'FATOR K'!$J$13</f>
        <v>0</v>
      </c>
      <c r="I60" s="362"/>
      <c r="J60" s="361">
        <f>'FATOR K'!$J$13</f>
        <v>0</v>
      </c>
      <c r="K60" s="362"/>
      <c r="L60" s="361">
        <f>'FATOR K'!$J$13</f>
        <v>0</v>
      </c>
      <c r="M60" s="362"/>
      <c r="N60" s="361">
        <f>'FATOR K'!$J$13</f>
        <v>0</v>
      </c>
      <c r="O60" s="362"/>
      <c r="P60" s="361">
        <f>'FATOR K'!$J$13</f>
        <v>0</v>
      </c>
      <c r="Q60" s="362"/>
      <c r="R60" s="361">
        <f>'FATOR K'!$J$13</f>
        <v>0</v>
      </c>
      <c r="S60" s="362"/>
    </row>
    <row r="61" spans="1:19" s="144" customFormat="1" ht="12" x14ac:dyDescent="0.25">
      <c r="A61" s="745" t="s">
        <v>227</v>
      </c>
      <c r="B61" s="746"/>
      <c r="C61" s="150"/>
      <c r="D61" s="361">
        <f>'FATOR K'!$J$14</f>
        <v>0</v>
      </c>
      <c r="E61" s="362"/>
      <c r="F61" s="361">
        <f>'FATOR K'!$J$14</f>
        <v>0</v>
      </c>
      <c r="G61" s="362"/>
      <c r="H61" s="361">
        <f>'FATOR K'!$J$14</f>
        <v>0</v>
      </c>
      <c r="I61" s="362"/>
      <c r="J61" s="361">
        <f>'FATOR K'!$J$14</f>
        <v>0</v>
      </c>
      <c r="K61" s="362"/>
      <c r="L61" s="361">
        <f>'FATOR K'!$J$14</f>
        <v>0</v>
      </c>
      <c r="M61" s="362"/>
      <c r="N61" s="361">
        <f>'FATOR K'!$J$14</f>
        <v>0</v>
      </c>
      <c r="O61" s="362"/>
      <c r="P61" s="361">
        <f>'FATOR K'!$J$14</f>
        <v>0</v>
      </c>
      <c r="Q61" s="362"/>
      <c r="R61" s="361">
        <f>'FATOR K'!$J$14</f>
        <v>0</v>
      </c>
      <c r="S61" s="362"/>
    </row>
    <row r="62" spans="1:19" s="144" customFormat="1" ht="11.45" customHeight="1" x14ac:dyDescent="0.25">
      <c r="A62" s="735" t="s">
        <v>228</v>
      </c>
      <c r="B62" s="736"/>
      <c r="C62" s="148"/>
      <c r="D62" s="713" t="e">
        <f>(1+E53+E55)*(1+E56)*(1+E57)</f>
        <v>#DIV/0!</v>
      </c>
      <c r="E62" s="714"/>
      <c r="F62" s="713" t="e">
        <f>(1+G53+G55)*(1+G56)*(1+G57)</f>
        <v>#DIV/0!</v>
      </c>
      <c r="G62" s="714"/>
      <c r="H62" s="713" t="e">
        <f>(1+I53+I55)*(1+I56)*(1+I57)</f>
        <v>#DIV/0!</v>
      </c>
      <c r="I62" s="714"/>
      <c r="J62" s="713" t="e">
        <f>(1+K53+K55)*(1+K56)*(1+K57)</f>
        <v>#DIV/0!</v>
      </c>
      <c r="K62" s="714"/>
      <c r="L62" s="713" t="e">
        <f>(1+M53+M55)*(1+M56)*(1+M57)</f>
        <v>#DIV/0!</v>
      </c>
      <c r="M62" s="714"/>
      <c r="N62" s="713" t="e">
        <f>(1+O53+O55)*(1+O56)*(1+O57)</f>
        <v>#DIV/0!</v>
      </c>
      <c r="O62" s="714"/>
      <c r="P62" s="713" t="e">
        <f>(1+Q53+Q55)*(1+Q56)*(1+Q57)</f>
        <v>#DIV/0!</v>
      </c>
      <c r="Q62" s="714"/>
      <c r="R62" s="713" t="e">
        <f>(1+S53+S55)*(1+S56)*(1+S57)</f>
        <v>#DIV/0!</v>
      </c>
      <c r="S62" s="714"/>
    </row>
    <row r="63" spans="1:19" s="144" customFormat="1" ht="12" x14ac:dyDescent="0.25">
      <c r="A63" s="148"/>
      <c r="B63" s="363"/>
      <c r="C63" s="148"/>
      <c r="D63" s="149"/>
      <c r="E63" s="149"/>
      <c r="F63" s="149"/>
      <c r="G63" s="149"/>
      <c r="H63" s="149"/>
      <c r="I63" s="149"/>
      <c r="J63" s="149"/>
      <c r="K63" s="149"/>
      <c r="L63" s="149"/>
      <c r="M63" s="149"/>
      <c r="N63" s="149"/>
      <c r="O63" s="149"/>
      <c r="P63" s="149"/>
      <c r="Q63" s="149"/>
      <c r="R63" s="149"/>
      <c r="S63" s="149"/>
    </row>
    <row r="64" spans="1:19" s="144" customFormat="1" ht="12.75" customHeight="1" x14ac:dyDescent="0.25">
      <c r="A64" s="711" t="s">
        <v>229</v>
      </c>
      <c r="B64" s="712"/>
      <c r="C64" s="148"/>
      <c r="D64" s="708" t="e">
        <f>ROUND((D62*D8),2)</f>
        <v>#DIV/0!</v>
      </c>
      <c r="E64" s="709"/>
      <c r="F64" s="708" t="e">
        <f>ROUND((F62*F8),2)</f>
        <v>#DIV/0!</v>
      </c>
      <c r="G64" s="709"/>
      <c r="H64" s="708" t="e">
        <f>ROUND((H62*H8),2)</f>
        <v>#DIV/0!</v>
      </c>
      <c r="I64" s="709"/>
      <c r="J64" s="708" t="e">
        <f>ROUND((J62*J8),2)</f>
        <v>#DIV/0!</v>
      </c>
      <c r="K64" s="709"/>
      <c r="L64" s="708" t="e">
        <f>ROUND((L62*L8),2)</f>
        <v>#DIV/0!</v>
      </c>
      <c r="M64" s="709"/>
      <c r="N64" s="708" t="e">
        <f>ROUND((N62*N8),2)</f>
        <v>#DIV/0!</v>
      </c>
      <c r="O64" s="709"/>
      <c r="P64" s="708" t="e">
        <f>ROUND((P62*P8),2)</f>
        <v>#DIV/0!</v>
      </c>
      <c r="Q64" s="709"/>
      <c r="R64" s="708" t="e">
        <f>ROUND((R62*R8),2)</f>
        <v>#DIV/0!</v>
      </c>
      <c r="S64" s="709"/>
    </row>
  </sheetData>
  <mergeCells count="86">
    <mergeCell ref="A62:B62"/>
    <mergeCell ref="A10:B10"/>
    <mergeCell ref="A54:B54"/>
    <mergeCell ref="A55:B55"/>
    <mergeCell ref="A39:B39"/>
    <mergeCell ref="A48:B48"/>
    <mergeCell ref="A50:B50"/>
    <mergeCell ref="A61:B61"/>
    <mergeCell ref="A53:B53"/>
    <mergeCell ref="A57:B57"/>
    <mergeCell ref="A58:B58"/>
    <mergeCell ref="A59:B59"/>
    <mergeCell ref="A60:B60"/>
    <mergeCell ref="A56:B56"/>
    <mergeCell ref="A4:B4"/>
    <mergeCell ref="A5:B5"/>
    <mergeCell ref="A6:B6"/>
    <mergeCell ref="A8:B8"/>
    <mergeCell ref="A3:B3"/>
    <mergeCell ref="A7:B7"/>
    <mergeCell ref="F3:G3"/>
    <mergeCell ref="F4:G4"/>
    <mergeCell ref="F5:G5"/>
    <mergeCell ref="F6:G6"/>
    <mergeCell ref="F8:G8"/>
    <mergeCell ref="F7:G7"/>
    <mergeCell ref="D3:E3"/>
    <mergeCell ref="D4:E4"/>
    <mergeCell ref="D5:E5"/>
    <mergeCell ref="D6:E6"/>
    <mergeCell ref="D8:E8"/>
    <mergeCell ref="D7:E7"/>
    <mergeCell ref="J3:K3"/>
    <mergeCell ref="J4:K4"/>
    <mergeCell ref="J5:K5"/>
    <mergeCell ref="J6:K6"/>
    <mergeCell ref="J8:K8"/>
    <mergeCell ref="H3:I3"/>
    <mergeCell ref="H4:I4"/>
    <mergeCell ref="H5:I5"/>
    <mergeCell ref="H6:I6"/>
    <mergeCell ref="H8:I8"/>
    <mergeCell ref="H7:I7"/>
    <mergeCell ref="N8:O8"/>
    <mergeCell ref="R3:S3"/>
    <mergeCell ref="R4:S4"/>
    <mergeCell ref="R5:S5"/>
    <mergeCell ref="R6:S6"/>
    <mergeCell ref="R8:S8"/>
    <mergeCell ref="P3:Q3"/>
    <mergeCell ref="P4:Q4"/>
    <mergeCell ref="P5:Q5"/>
    <mergeCell ref="P6:Q6"/>
    <mergeCell ref="P8:Q8"/>
    <mergeCell ref="N3:O3"/>
    <mergeCell ref="N4:O4"/>
    <mergeCell ref="N5:O5"/>
    <mergeCell ref="N6:O6"/>
    <mergeCell ref="L3:M3"/>
    <mergeCell ref="L4:M4"/>
    <mergeCell ref="L5:M5"/>
    <mergeCell ref="L6:M6"/>
    <mergeCell ref="L8:M8"/>
    <mergeCell ref="A1:S1"/>
    <mergeCell ref="A64:B64"/>
    <mergeCell ref="D62:E62"/>
    <mergeCell ref="F62:G62"/>
    <mergeCell ref="H62:I62"/>
    <mergeCell ref="J62:K62"/>
    <mergeCell ref="L62:M62"/>
    <mergeCell ref="N62:O62"/>
    <mergeCell ref="J7:K7"/>
    <mergeCell ref="L7:M7"/>
    <mergeCell ref="N7:O7"/>
    <mergeCell ref="P7:Q7"/>
    <mergeCell ref="R7:S7"/>
    <mergeCell ref="R64:S64"/>
    <mergeCell ref="P62:Q62"/>
    <mergeCell ref="R62:S62"/>
    <mergeCell ref="N64:O64"/>
    <mergeCell ref="P64:Q64"/>
    <mergeCell ref="D64:E64"/>
    <mergeCell ref="F64:G64"/>
    <mergeCell ref="H64:I64"/>
    <mergeCell ref="J64:K64"/>
    <mergeCell ref="L64:M64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landscape" horizontalDpi="1200" verticalDpi="1200" r:id="rId1"/>
  <headerFooter>
    <oddFooter>Página &amp;P de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7F441-9CF7-48EC-ACD6-114D5CFCF834}">
  <dimension ref="A1:I217"/>
  <sheetViews>
    <sheetView workbookViewId="0">
      <selection activeCell="I216" sqref="I216"/>
    </sheetView>
  </sheetViews>
  <sheetFormatPr defaultRowHeight="15" x14ac:dyDescent="0.25"/>
  <cols>
    <col min="1" max="1" width="10.140625" style="2" bestFit="1" customWidth="1"/>
    <col min="2" max="2" width="33.28515625" style="2" bestFit="1" customWidth="1"/>
    <col min="3" max="3" width="11.140625" style="2" customWidth="1"/>
    <col min="4" max="4" width="14" style="2" bestFit="1" customWidth="1"/>
    <col min="5" max="5" width="10.140625" style="2" bestFit="1" customWidth="1"/>
    <col min="6" max="6" width="8.140625" style="2" bestFit="1" customWidth="1"/>
    <col min="7" max="7" width="16.28515625" style="2" bestFit="1" customWidth="1"/>
    <col min="8" max="8" width="13.7109375" style="2" bestFit="1" customWidth="1"/>
    <col min="9" max="9" width="12.7109375" style="2" bestFit="1" customWidth="1"/>
  </cols>
  <sheetData>
    <row r="1" spans="1:9" ht="15.75" x14ac:dyDescent="0.25">
      <c r="A1" s="648" t="s">
        <v>431</v>
      </c>
      <c r="B1" s="648"/>
      <c r="C1" s="648"/>
      <c r="D1" s="648"/>
      <c r="E1" s="648"/>
      <c r="F1" s="648"/>
      <c r="G1" s="648"/>
      <c r="H1" s="648"/>
      <c r="I1" s="648"/>
    </row>
    <row r="2" spans="1:9" ht="15.75" thickBot="1" x14ac:dyDescent="0.3">
      <c r="A2" s="117"/>
      <c r="B2" s="117"/>
      <c r="C2" s="117"/>
      <c r="D2" s="117"/>
      <c r="E2" s="117"/>
      <c r="F2" s="117"/>
      <c r="G2" s="117"/>
      <c r="H2" s="117"/>
      <c r="I2" s="117"/>
    </row>
    <row r="3" spans="1:9" x14ac:dyDescent="0.25">
      <c r="A3" s="769" t="s">
        <v>432</v>
      </c>
      <c r="B3" s="770"/>
      <c r="C3" s="770"/>
      <c r="D3" s="770"/>
      <c r="E3" s="770"/>
      <c r="F3" s="770"/>
      <c r="G3" s="770"/>
      <c r="H3" s="770"/>
      <c r="I3" s="771"/>
    </row>
    <row r="4" spans="1:9" x14ac:dyDescent="0.25">
      <c r="A4" s="470" t="s">
        <v>137</v>
      </c>
      <c r="B4" s="471" t="s">
        <v>204</v>
      </c>
      <c r="C4" s="472"/>
      <c r="D4" s="472"/>
      <c r="E4" s="472"/>
      <c r="F4" s="472"/>
      <c r="G4" s="472"/>
      <c r="H4" s="472"/>
      <c r="I4" s="473"/>
    </row>
    <row r="5" spans="1:9" x14ac:dyDescent="0.25">
      <c r="A5" s="470" t="s">
        <v>140</v>
      </c>
      <c r="B5" s="474" t="s">
        <v>51</v>
      </c>
      <c r="C5" s="475"/>
      <c r="D5" s="475"/>
      <c r="E5" s="475"/>
      <c r="F5" s="475"/>
      <c r="G5" s="475"/>
      <c r="H5" s="475"/>
      <c r="I5" s="476"/>
    </row>
    <row r="6" spans="1:9" x14ac:dyDescent="0.25">
      <c r="A6" s="470" t="s">
        <v>142</v>
      </c>
      <c r="B6" s="477">
        <v>45811</v>
      </c>
      <c r="C6" s="478"/>
      <c r="D6" s="478"/>
      <c r="E6" s="478"/>
      <c r="F6" s="478"/>
      <c r="G6" s="478"/>
      <c r="H6" s="478"/>
      <c r="I6" s="479"/>
    </row>
    <row r="7" spans="1:9" x14ac:dyDescent="0.25">
      <c r="A7" s="470" t="s">
        <v>141</v>
      </c>
      <c r="B7" s="480" t="s">
        <v>67</v>
      </c>
      <c r="C7" s="478"/>
      <c r="D7" s="478"/>
      <c r="E7" s="478"/>
      <c r="F7" s="478"/>
      <c r="G7" s="478"/>
      <c r="H7" s="478"/>
      <c r="I7" s="479"/>
    </row>
    <row r="8" spans="1:9" x14ac:dyDescent="0.25">
      <c r="A8" s="470" t="s">
        <v>343</v>
      </c>
      <c r="B8" s="480" t="s">
        <v>205</v>
      </c>
      <c r="C8" s="478"/>
      <c r="D8" s="478"/>
      <c r="E8" s="478"/>
      <c r="F8" s="478"/>
      <c r="G8" s="478"/>
      <c r="H8" s="478"/>
      <c r="I8" s="479"/>
    </row>
    <row r="9" spans="1:9" x14ac:dyDescent="0.25">
      <c r="A9" s="470" t="s">
        <v>433</v>
      </c>
      <c r="B9" s="481" t="s">
        <v>51</v>
      </c>
      <c r="C9" s="482"/>
      <c r="D9" s="482"/>
      <c r="E9" s="482"/>
      <c r="F9" s="482"/>
      <c r="G9" s="482"/>
      <c r="H9" s="482"/>
      <c r="I9" s="479"/>
    </row>
    <row r="10" spans="1:9" ht="15.75" thickBot="1" x14ac:dyDescent="0.3">
      <c r="A10" s="758" t="s">
        <v>434</v>
      </c>
      <c r="B10" s="759"/>
      <c r="C10" s="759"/>
      <c r="D10" s="759"/>
      <c r="E10" s="759"/>
      <c r="F10" s="759"/>
      <c r="G10" s="759"/>
      <c r="H10" s="759"/>
      <c r="I10" s="483">
        <v>399.66</v>
      </c>
    </row>
    <row r="11" spans="1:9" x14ac:dyDescent="0.25">
      <c r="A11" s="763" t="s">
        <v>435</v>
      </c>
      <c r="B11" s="763"/>
      <c r="C11" s="763"/>
      <c r="D11" s="763"/>
      <c r="E11" s="763"/>
      <c r="F11" s="763"/>
      <c r="G11" s="763"/>
      <c r="H11" s="763"/>
      <c r="I11" s="763"/>
    </row>
    <row r="12" spans="1:9" ht="15.75" thickBot="1" x14ac:dyDescent="0.3">
      <c r="A12" s="130"/>
      <c r="B12" s="130"/>
      <c r="C12" s="130"/>
      <c r="D12" s="130"/>
      <c r="E12" s="130"/>
      <c r="F12" s="130"/>
      <c r="G12" s="130"/>
      <c r="H12" s="130"/>
      <c r="I12" s="130"/>
    </row>
    <row r="13" spans="1:9" x14ac:dyDescent="0.25">
      <c r="A13" s="769" t="s">
        <v>436</v>
      </c>
      <c r="B13" s="770"/>
      <c r="C13" s="770"/>
      <c r="D13" s="770"/>
      <c r="E13" s="770"/>
      <c r="F13" s="770"/>
      <c r="G13" s="770"/>
      <c r="H13" s="770"/>
      <c r="I13" s="771"/>
    </row>
    <row r="14" spans="1:9" x14ac:dyDescent="0.25">
      <c r="A14" s="470" t="s">
        <v>137</v>
      </c>
      <c r="B14" s="471" t="s">
        <v>206</v>
      </c>
      <c r="C14" s="472"/>
      <c r="D14" s="472"/>
      <c r="E14" s="472"/>
      <c r="F14" s="472"/>
      <c r="G14" s="472"/>
      <c r="H14" s="472"/>
      <c r="I14" s="473"/>
    </row>
    <row r="15" spans="1:9" x14ac:dyDescent="0.25">
      <c r="A15" s="470" t="s">
        <v>140</v>
      </c>
      <c r="B15" s="484" t="s">
        <v>51</v>
      </c>
      <c r="C15" s="475"/>
      <c r="D15" s="475"/>
      <c r="E15" s="475"/>
      <c r="F15" s="475"/>
      <c r="G15" s="475"/>
      <c r="H15" s="475"/>
      <c r="I15" s="476"/>
    </row>
    <row r="16" spans="1:9" x14ac:dyDescent="0.25">
      <c r="A16" s="470" t="s">
        <v>142</v>
      </c>
      <c r="B16" s="477">
        <v>45811</v>
      </c>
      <c r="C16" s="478"/>
      <c r="D16" s="478"/>
      <c r="E16" s="478"/>
      <c r="F16" s="478"/>
      <c r="G16" s="478"/>
      <c r="H16" s="478"/>
      <c r="I16" s="479"/>
    </row>
    <row r="17" spans="1:9" x14ac:dyDescent="0.25">
      <c r="A17" s="470" t="s">
        <v>141</v>
      </c>
      <c r="B17" s="480" t="s">
        <v>67</v>
      </c>
      <c r="C17" s="478"/>
      <c r="D17" s="478"/>
      <c r="E17" s="478"/>
      <c r="F17" s="478"/>
      <c r="G17" s="478"/>
      <c r="H17" s="478"/>
      <c r="I17" s="479"/>
    </row>
    <row r="18" spans="1:9" x14ac:dyDescent="0.25">
      <c r="A18" s="470" t="s">
        <v>343</v>
      </c>
      <c r="B18" s="485" t="s">
        <v>437</v>
      </c>
      <c r="C18" s="478"/>
      <c r="D18" s="478"/>
      <c r="E18" s="478"/>
      <c r="F18" s="478"/>
      <c r="G18" s="478"/>
      <c r="H18" s="478"/>
      <c r="I18" s="479"/>
    </row>
    <row r="19" spans="1:9" x14ac:dyDescent="0.25">
      <c r="A19" s="486" t="s">
        <v>433</v>
      </c>
      <c r="B19" s="775" t="s">
        <v>438</v>
      </c>
      <c r="C19" s="776"/>
      <c r="D19" s="776"/>
      <c r="E19" s="776"/>
      <c r="F19" s="776"/>
      <c r="G19" s="776"/>
      <c r="H19" s="776"/>
      <c r="I19" s="777"/>
    </row>
    <row r="20" spans="1:9" ht="15.75" thickBot="1" x14ac:dyDescent="0.3">
      <c r="A20" s="758" t="s">
        <v>439</v>
      </c>
      <c r="B20" s="759"/>
      <c r="C20" s="759"/>
      <c r="D20" s="759"/>
      <c r="E20" s="759"/>
      <c r="F20" s="759"/>
      <c r="G20" s="759"/>
      <c r="H20" s="759"/>
      <c r="I20" s="483">
        <v>162.4</v>
      </c>
    </row>
    <row r="21" spans="1:9" x14ac:dyDescent="0.25">
      <c r="A21" s="763" t="s">
        <v>435</v>
      </c>
      <c r="B21" s="763"/>
      <c r="C21" s="763"/>
      <c r="D21" s="763"/>
      <c r="E21" s="763"/>
      <c r="F21" s="763"/>
      <c r="G21" s="763"/>
      <c r="H21" s="763"/>
      <c r="I21" s="763"/>
    </row>
    <row r="22" spans="1:9" ht="15.75" thickBot="1" x14ac:dyDescent="0.3">
      <c r="A22" s="130"/>
      <c r="B22" s="130"/>
      <c r="C22" s="130"/>
      <c r="D22" s="130"/>
      <c r="E22" s="130"/>
      <c r="F22" s="130"/>
      <c r="G22" s="130"/>
      <c r="H22" s="130"/>
      <c r="I22" s="130"/>
    </row>
    <row r="23" spans="1:9" x14ac:dyDescent="0.25">
      <c r="A23" s="769" t="s">
        <v>440</v>
      </c>
      <c r="B23" s="770"/>
      <c r="C23" s="770"/>
      <c r="D23" s="770"/>
      <c r="E23" s="770"/>
      <c r="F23" s="770"/>
      <c r="G23" s="770"/>
      <c r="H23" s="770"/>
      <c r="I23" s="771"/>
    </row>
    <row r="24" spans="1:9" x14ac:dyDescent="0.25">
      <c r="A24" s="470" t="s">
        <v>137</v>
      </c>
      <c r="B24" s="471" t="s">
        <v>208</v>
      </c>
      <c r="C24" s="472"/>
      <c r="D24" s="472"/>
      <c r="E24" s="472"/>
      <c r="F24" s="472"/>
      <c r="G24" s="472"/>
      <c r="H24" s="472"/>
      <c r="I24" s="473"/>
    </row>
    <row r="25" spans="1:9" x14ac:dyDescent="0.25">
      <c r="A25" s="470" t="s">
        <v>140</v>
      </c>
      <c r="B25" s="484" t="s">
        <v>51</v>
      </c>
      <c r="C25" s="475"/>
      <c r="D25" s="475"/>
      <c r="E25" s="475"/>
      <c r="F25" s="475"/>
      <c r="G25" s="475"/>
      <c r="H25" s="475"/>
      <c r="I25" s="476"/>
    </row>
    <row r="26" spans="1:9" x14ac:dyDescent="0.25">
      <c r="A26" s="470" t="s">
        <v>142</v>
      </c>
      <c r="B26" s="477">
        <v>45811</v>
      </c>
      <c r="C26" s="478"/>
      <c r="D26" s="478"/>
      <c r="E26" s="478"/>
      <c r="F26" s="478"/>
      <c r="G26" s="478"/>
      <c r="H26" s="478"/>
      <c r="I26" s="479"/>
    </row>
    <row r="27" spans="1:9" x14ac:dyDescent="0.25">
      <c r="A27" s="470" t="s">
        <v>141</v>
      </c>
      <c r="B27" s="480" t="s">
        <v>67</v>
      </c>
      <c r="C27" s="478"/>
      <c r="D27" s="478"/>
      <c r="E27" s="478"/>
      <c r="F27" s="478"/>
      <c r="G27" s="478"/>
      <c r="H27" s="478"/>
      <c r="I27" s="479"/>
    </row>
    <row r="28" spans="1:9" x14ac:dyDescent="0.25">
      <c r="A28" s="470" t="s">
        <v>343</v>
      </c>
      <c r="B28" s="485" t="s">
        <v>441</v>
      </c>
      <c r="C28" s="478"/>
      <c r="D28" s="478"/>
      <c r="E28" s="478"/>
      <c r="F28" s="478"/>
      <c r="G28" s="478"/>
      <c r="H28" s="478"/>
      <c r="I28" s="479"/>
    </row>
    <row r="29" spans="1:9" x14ac:dyDescent="0.25">
      <c r="A29" s="470" t="s">
        <v>433</v>
      </c>
      <c r="B29" s="487" t="s">
        <v>51</v>
      </c>
      <c r="C29" s="482"/>
      <c r="D29" s="482"/>
      <c r="E29" s="482"/>
      <c r="F29" s="482"/>
      <c r="G29" s="482"/>
      <c r="H29" s="482"/>
      <c r="I29" s="479"/>
    </row>
    <row r="30" spans="1:9" x14ac:dyDescent="0.25">
      <c r="A30" s="772" t="s">
        <v>442</v>
      </c>
      <c r="B30" s="773"/>
      <c r="C30" s="773"/>
      <c r="D30" s="773"/>
      <c r="E30" s="773"/>
      <c r="F30" s="773"/>
      <c r="G30" s="773"/>
      <c r="H30" s="773"/>
      <c r="I30" s="488">
        <v>188.57</v>
      </c>
    </row>
    <row r="31" spans="1:9" x14ac:dyDescent="0.25">
      <c r="A31" s="772" t="s">
        <v>443</v>
      </c>
      <c r="B31" s="773"/>
      <c r="C31" s="773"/>
      <c r="D31" s="773"/>
      <c r="E31" s="773"/>
      <c r="F31" s="773"/>
      <c r="G31" s="773"/>
      <c r="H31" s="773"/>
      <c r="I31" s="488">
        <f>I30/30</f>
        <v>6.2856666666666667</v>
      </c>
    </row>
    <row r="32" spans="1:9" x14ac:dyDescent="0.25">
      <c r="A32" s="774" t="s">
        <v>444</v>
      </c>
      <c r="B32" s="774"/>
      <c r="C32" s="774"/>
      <c r="D32" s="774"/>
      <c r="E32" s="774"/>
      <c r="F32" s="774"/>
      <c r="G32" s="774"/>
      <c r="H32" s="774"/>
      <c r="I32" s="774"/>
    </row>
    <row r="33" spans="1:9" x14ac:dyDescent="0.25">
      <c r="A33" s="489"/>
      <c r="B33" s="130"/>
      <c r="C33" s="130"/>
      <c r="D33" s="130"/>
      <c r="E33" s="130"/>
      <c r="F33" s="130"/>
      <c r="G33" s="130"/>
      <c r="H33" s="130"/>
      <c r="I33" s="490"/>
    </row>
    <row r="34" spans="1:9" x14ac:dyDescent="0.25">
      <c r="A34" s="766" t="s">
        <v>445</v>
      </c>
      <c r="B34" s="767"/>
      <c r="C34" s="767"/>
      <c r="D34" s="767"/>
      <c r="E34" s="767"/>
      <c r="F34" s="767"/>
      <c r="G34" s="767"/>
      <c r="H34" s="767"/>
      <c r="I34" s="768"/>
    </row>
    <row r="35" spans="1:9" ht="25.5" x14ac:dyDescent="0.25">
      <c r="A35" s="491" t="s">
        <v>6</v>
      </c>
      <c r="B35" s="492" t="s">
        <v>446</v>
      </c>
      <c r="C35" s="492" t="s">
        <v>8</v>
      </c>
      <c r="D35" s="492" t="s">
        <v>447</v>
      </c>
      <c r="E35" s="492" t="s">
        <v>448</v>
      </c>
      <c r="F35" s="492" t="s">
        <v>449</v>
      </c>
      <c r="G35" s="492" t="s">
        <v>450</v>
      </c>
      <c r="H35" s="492" t="s">
        <v>451</v>
      </c>
      <c r="I35" s="493" t="s">
        <v>452</v>
      </c>
    </row>
    <row r="36" spans="1:9" x14ac:dyDescent="0.25">
      <c r="A36" s="494">
        <v>1</v>
      </c>
      <c r="B36" s="495" t="s">
        <v>453</v>
      </c>
      <c r="C36" s="496" t="s">
        <v>67</v>
      </c>
      <c r="D36" s="497">
        <v>75.52</v>
      </c>
      <c r="E36" s="497">
        <v>90</v>
      </c>
      <c r="F36" s="497">
        <v>565.71</v>
      </c>
      <c r="G36" s="498">
        <v>1</v>
      </c>
      <c r="H36" s="499">
        <f>(D36/F36)*G36</f>
        <v>0.13349596082798607</v>
      </c>
      <c r="I36" s="500">
        <v>25.172499999999999</v>
      </c>
    </row>
    <row r="37" spans="1:9" x14ac:dyDescent="0.25">
      <c r="A37" s="494">
        <v>2</v>
      </c>
      <c r="B37" s="495" t="s">
        <v>454</v>
      </c>
      <c r="C37" s="496" t="s">
        <v>67</v>
      </c>
      <c r="D37" s="497">
        <v>20.45</v>
      </c>
      <c r="E37" s="497">
        <v>60</v>
      </c>
      <c r="F37" s="497">
        <v>377.14</v>
      </c>
      <c r="G37" s="498">
        <v>0.2</v>
      </c>
      <c r="H37" s="499">
        <f t="shared" ref="H37:H39" si="0">(D37/F37)*G37</f>
        <v>1.0844779127114601E-2</v>
      </c>
      <c r="I37" s="500">
        <v>2.0451000000000001</v>
      </c>
    </row>
    <row r="38" spans="1:9" x14ac:dyDescent="0.25">
      <c r="A38" s="494">
        <v>3</v>
      </c>
      <c r="B38" s="495" t="s">
        <v>455</v>
      </c>
      <c r="C38" s="496" t="s">
        <v>67</v>
      </c>
      <c r="D38" s="497">
        <v>267.47000000000003</v>
      </c>
      <c r="E38" s="497">
        <v>130</v>
      </c>
      <c r="F38" s="497">
        <v>817.14</v>
      </c>
      <c r="G38" s="498">
        <v>0.5</v>
      </c>
      <c r="H38" s="499">
        <f t="shared" si="0"/>
        <v>0.16366228553246692</v>
      </c>
      <c r="I38" s="500">
        <v>30.8613</v>
      </c>
    </row>
    <row r="39" spans="1:9" x14ac:dyDescent="0.25">
      <c r="A39" s="494">
        <v>4</v>
      </c>
      <c r="B39" s="495" t="s">
        <v>456</v>
      </c>
      <c r="C39" s="496" t="s">
        <v>67</v>
      </c>
      <c r="D39" s="497">
        <v>331.8</v>
      </c>
      <c r="E39" s="497">
        <v>180</v>
      </c>
      <c r="F39" s="497">
        <v>1131.43</v>
      </c>
      <c r="G39" s="498">
        <v>1</v>
      </c>
      <c r="H39" s="499">
        <f t="shared" si="0"/>
        <v>0.2932572054833264</v>
      </c>
      <c r="I39" s="500">
        <v>55.299599999999998</v>
      </c>
    </row>
    <row r="40" spans="1:9" x14ac:dyDescent="0.25">
      <c r="A40" s="501"/>
      <c r="B40" s="502"/>
      <c r="C40" s="502"/>
      <c r="D40" s="502"/>
      <c r="E40" s="502"/>
      <c r="F40" s="502"/>
      <c r="G40" s="503" t="s">
        <v>121</v>
      </c>
      <c r="H40" s="504">
        <f>SUM(H36:H39)</f>
        <v>0.60126023097089398</v>
      </c>
      <c r="I40" s="505">
        <f>TRUNC((SUM(I36:I39)),2)</f>
        <v>113.37</v>
      </c>
    </row>
    <row r="41" spans="1:9" x14ac:dyDescent="0.25">
      <c r="A41" s="489"/>
      <c r="B41" s="130"/>
      <c r="C41" s="130"/>
      <c r="D41" s="130"/>
      <c r="E41" s="130"/>
      <c r="F41" s="130"/>
      <c r="G41" s="130"/>
      <c r="H41" s="130"/>
      <c r="I41" s="490"/>
    </row>
    <row r="42" spans="1:9" x14ac:dyDescent="0.25">
      <c r="A42" s="766" t="s">
        <v>457</v>
      </c>
      <c r="B42" s="767"/>
      <c r="C42" s="767"/>
      <c r="D42" s="767"/>
      <c r="E42" s="767"/>
      <c r="F42" s="767"/>
      <c r="G42" s="767"/>
      <c r="H42" s="767"/>
      <c r="I42" s="768"/>
    </row>
    <row r="43" spans="1:9" ht="25.5" x14ac:dyDescent="0.25">
      <c r="A43" s="506" t="s">
        <v>6</v>
      </c>
      <c r="B43" s="507" t="s">
        <v>446</v>
      </c>
      <c r="C43" s="507" t="s">
        <v>8</v>
      </c>
      <c r="D43" s="507" t="s">
        <v>447</v>
      </c>
      <c r="E43" s="507" t="s">
        <v>448</v>
      </c>
      <c r="F43" s="507" t="s">
        <v>449</v>
      </c>
      <c r="G43" s="507" t="s">
        <v>450</v>
      </c>
      <c r="H43" s="507" t="s">
        <v>451</v>
      </c>
      <c r="I43" s="508" t="s">
        <v>452</v>
      </c>
    </row>
    <row r="44" spans="1:9" x14ac:dyDescent="0.25">
      <c r="A44" s="494">
        <v>1</v>
      </c>
      <c r="B44" s="495" t="s">
        <v>458</v>
      </c>
      <c r="C44" s="496" t="s">
        <v>459</v>
      </c>
      <c r="D44" s="497">
        <v>331.8</v>
      </c>
      <c r="E44" s="497">
        <v>180</v>
      </c>
      <c r="F44" s="497">
        <v>1131.43</v>
      </c>
      <c r="G44" s="498">
        <v>1</v>
      </c>
      <c r="H44" s="499">
        <f>(D44/F44)*G44</f>
        <v>0.2932572054833264</v>
      </c>
      <c r="I44" s="500">
        <v>55.299599999999998</v>
      </c>
    </row>
    <row r="45" spans="1:9" x14ac:dyDescent="0.25">
      <c r="A45" s="494">
        <v>2</v>
      </c>
      <c r="B45" s="495" t="s">
        <v>460</v>
      </c>
      <c r="C45" s="509" t="s">
        <v>67</v>
      </c>
      <c r="D45" s="497">
        <v>15.73</v>
      </c>
      <c r="E45" s="497">
        <v>360</v>
      </c>
      <c r="F45" s="497">
        <v>2262.86</v>
      </c>
      <c r="G45" s="498">
        <v>1</v>
      </c>
      <c r="H45" s="499">
        <f t="shared" ref="H45:H48" si="1">(D45/F45)*G45</f>
        <v>6.9513801118937981E-3</v>
      </c>
      <c r="I45" s="500">
        <v>1.3110999999999999</v>
      </c>
    </row>
    <row r="46" spans="1:9" x14ac:dyDescent="0.25">
      <c r="A46" s="494">
        <v>3</v>
      </c>
      <c r="B46" s="495" t="s">
        <v>453</v>
      </c>
      <c r="C46" s="496" t="s">
        <v>67</v>
      </c>
      <c r="D46" s="497">
        <v>75.52</v>
      </c>
      <c r="E46" s="497">
        <v>90</v>
      </c>
      <c r="F46" s="497">
        <v>565.71</v>
      </c>
      <c r="G46" s="498">
        <v>1</v>
      </c>
      <c r="H46" s="499">
        <f>(D46/F46)*G46</f>
        <v>0.13349596082798607</v>
      </c>
      <c r="I46" s="500">
        <v>25.172499999999999</v>
      </c>
    </row>
    <row r="47" spans="1:9" x14ac:dyDescent="0.25">
      <c r="A47" s="494">
        <v>4</v>
      </c>
      <c r="B47" s="495" t="s">
        <v>455</v>
      </c>
      <c r="C47" s="496" t="s">
        <v>67</v>
      </c>
      <c r="D47" s="497">
        <v>267.47000000000003</v>
      </c>
      <c r="E47" s="497">
        <v>130</v>
      </c>
      <c r="F47" s="497">
        <v>817.14</v>
      </c>
      <c r="G47" s="498">
        <v>0.5</v>
      </c>
      <c r="H47" s="499">
        <f t="shared" ref="H47" si="2">(D47/F47)*G47</f>
        <v>0.16366228553246692</v>
      </c>
      <c r="I47" s="500">
        <v>30.8613</v>
      </c>
    </row>
    <row r="48" spans="1:9" x14ac:dyDescent="0.25">
      <c r="A48" s="494">
        <v>5</v>
      </c>
      <c r="B48" s="495" t="s">
        <v>454</v>
      </c>
      <c r="C48" s="496" t="s">
        <v>67</v>
      </c>
      <c r="D48" s="497">
        <v>20.45</v>
      </c>
      <c r="E48" s="497">
        <v>60</v>
      </c>
      <c r="F48" s="497">
        <v>377.14</v>
      </c>
      <c r="G48" s="498">
        <v>0.2</v>
      </c>
      <c r="H48" s="499">
        <f t="shared" si="1"/>
        <v>1.0844779127114601E-2</v>
      </c>
      <c r="I48" s="500">
        <v>2.0451000000000001</v>
      </c>
    </row>
    <row r="49" spans="1:9" x14ac:dyDescent="0.25">
      <c r="A49" s="494">
        <v>6</v>
      </c>
      <c r="B49" s="510" t="s">
        <v>461</v>
      </c>
      <c r="C49" s="496" t="s">
        <v>459</v>
      </c>
      <c r="D49" s="497">
        <v>45.89</v>
      </c>
      <c r="E49" s="497">
        <v>30</v>
      </c>
      <c r="F49" s="497">
        <v>188.57</v>
      </c>
      <c r="G49" s="498">
        <v>1</v>
      </c>
      <c r="H49" s="499">
        <f>(D49/F49)*G49</f>
        <v>0.24335790422654718</v>
      </c>
      <c r="I49" s="500">
        <v>45.889699999999998</v>
      </c>
    </row>
    <row r="50" spans="1:9" x14ac:dyDescent="0.25">
      <c r="A50" s="511"/>
      <c r="B50" s="512"/>
      <c r="C50" s="512"/>
      <c r="D50" s="512"/>
      <c r="E50" s="512"/>
      <c r="F50" s="512"/>
      <c r="G50" s="503" t="s">
        <v>121</v>
      </c>
      <c r="H50" s="504">
        <f>SUM(H44:H49)</f>
        <v>0.85156951530933478</v>
      </c>
      <c r="I50" s="505">
        <f>TRUNC((SUM(I44:I49)),2)</f>
        <v>160.57</v>
      </c>
    </row>
    <row r="51" spans="1:9" x14ac:dyDescent="0.25">
      <c r="A51" s="489"/>
      <c r="B51" s="130"/>
      <c r="C51" s="130"/>
      <c r="D51" s="130"/>
      <c r="E51" s="130"/>
      <c r="F51" s="130"/>
      <c r="G51" s="130"/>
      <c r="H51" s="130"/>
      <c r="I51" s="490"/>
    </row>
    <row r="52" spans="1:9" x14ac:dyDescent="0.25">
      <c r="A52" s="766" t="s">
        <v>462</v>
      </c>
      <c r="B52" s="767"/>
      <c r="C52" s="767"/>
      <c r="D52" s="767"/>
      <c r="E52" s="767"/>
      <c r="F52" s="767"/>
      <c r="G52" s="767"/>
      <c r="H52" s="767"/>
      <c r="I52" s="768"/>
    </row>
    <row r="53" spans="1:9" ht="25.5" x14ac:dyDescent="0.25">
      <c r="A53" s="506" t="s">
        <v>6</v>
      </c>
      <c r="B53" s="507" t="s">
        <v>446</v>
      </c>
      <c r="C53" s="507" t="s">
        <v>8</v>
      </c>
      <c r="D53" s="507" t="s">
        <v>447</v>
      </c>
      <c r="E53" s="507" t="s">
        <v>448</v>
      </c>
      <c r="F53" s="507" t="s">
        <v>449</v>
      </c>
      <c r="G53" s="507" t="s">
        <v>450</v>
      </c>
      <c r="H53" s="507" t="s">
        <v>451</v>
      </c>
      <c r="I53" s="508" t="s">
        <v>452</v>
      </c>
    </row>
    <row r="54" spans="1:9" x14ac:dyDescent="0.25">
      <c r="A54" s="513">
        <v>1</v>
      </c>
      <c r="B54" s="495" t="s">
        <v>456</v>
      </c>
      <c r="C54" s="496" t="s">
        <v>459</v>
      </c>
      <c r="D54" s="497">
        <v>331.8</v>
      </c>
      <c r="E54" s="497">
        <v>180</v>
      </c>
      <c r="F54" s="497">
        <v>1131.43</v>
      </c>
      <c r="G54" s="498">
        <v>1</v>
      </c>
      <c r="H54" s="499">
        <f t="shared" ref="H54:H60" si="3">(D54/F54)*G54</f>
        <v>0.2932572054833264</v>
      </c>
      <c r="I54" s="500">
        <v>55.299599999999998</v>
      </c>
    </row>
    <row r="55" spans="1:9" x14ac:dyDescent="0.25">
      <c r="A55" s="513">
        <v>2</v>
      </c>
      <c r="B55" s="510" t="s">
        <v>460</v>
      </c>
      <c r="C55" s="509" t="s">
        <v>67</v>
      </c>
      <c r="D55" s="497">
        <v>15.73</v>
      </c>
      <c r="E55" s="497">
        <v>360</v>
      </c>
      <c r="F55" s="497">
        <v>2262.86</v>
      </c>
      <c r="G55" s="498">
        <v>1</v>
      </c>
      <c r="H55" s="499">
        <f t="shared" si="3"/>
        <v>6.9513801118937981E-3</v>
      </c>
      <c r="I55" s="500">
        <v>1.3110999999999999</v>
      </c>
    </row>
    <row r="56" spans="1:9" x14ac:dyDescent="0.25">
      <c r="A56" s="513">
        <v>3</v>
      </c>
      <c r="B56" s="495" t="s">
        <v>453</v>
      </c>
      <c r="C56" s="496" t="s">
        <v>67</v>
      </c>
      <c r="D56" s="497">
        <v>75.52</v>
      </c>
      <c r="E56" s="497">
        <v>90</v>
      </c>
      <c r="F56" s="497">
        <v>565.71</v>
      </c>
      <c r="G56" s="498">
        <v>1</v>
      </c>
      <c r="H56" s="499">
        <f>(D56/F56)*G56</f>
        <v>0.13349596082798607</v>
      </c>
      <c r="I56" s="500">
        <v>25.172499999999999</v>
      </c>
    </row>
    <row r="57" spans="1:9" x14ac:dyDescent="0.25">
      <c r="A57" s="513">
        <v>4</v>
      </c>
      <c r="B57" s="510" t="s">
        <v>463</v>
      </c>
      <c r="C57" s="509" t="s">
        <v>67</v>
      </c>
      <c r="D57" s="514">
        <v>14.16</v>
      </c>
      <c r="E57" s="514">
        <v>10</v>
      </c>
      <c r="F57" s="514">
        <v>73.33</v>
      </c>
      <c r="G57" s="515">
        <v>1</v>
      </c>
      <c r="H57" s="499">
        <f t="shared" si="3"/>
        <v>0.19309968634937952</v>
      </c>
      <c r="I57" s="516">
        <v>36.406399999999998</v>
      </c>
    </row>
    <row r="58" spans="1:9" x14ac:dyDescent="0.25">
      <c r="A58" s="513">
        <v>5</v>
      </c>
      <c r="B58" s="510" t="s">
        <v>464</v>
      </c>
      <c r="C58" s="509" t="s">
        <v>67</v>
      </c>
      <c r="D58" s="514">
        <v>6.13</v>
      </c>
      <c r="E58" s="514">
        <v>60</v>
      </c>
      <c r="F58" s="514">
        <v>377.14</v>
      </c>
      <c r="G58" s="515">
        <v>1</v>
      </c>
      <c r="H58" s="499">
        <f t="shared" si="3"/>
        <v>1.6253911014477384E-2</v>
      </c>
      <c r="I58" s="516">
        <v>3.0661</v>
      </c>
    </row>
    <row r="59" spans="1:9" x14ac:dyDescent="0.25">
      <c r="A59" s="513">
        <v>6</v>
      </c>
      <c r="B59" s="495" t="s">
        <v>455</v>
      </c>
      <c r="C59" s="496" t="s">
        <v>67</v>
      </c>
      <c r="D59" s="497">
        <v>267.47000000000003</v>
      </c>
      <c r="E59" s="497">
        <v>130</v>
      </c>
      <c r="F59" s="497">
        <v>817.14</v>
      </c>
      <c r="G59" s="498">
        <v>0.5</v>
      </c>
      <c r="H59" s="499">
        <f t="shared" si="3"/>
        <v>0.16366228553246692</v>
      </c>
      <c r="I59" s="500">
        <v>30.8613</v>
      </c>
    </row>
    <row r="60" spans="1:9" x14ac:dyDescent="0.25">
      <c r="A60" s="513">
        <v>7</v>
      </c>
      <c r="B60" s="495" t="s">
        <v>454</v>
      </c>
      <c r="C60" s="496" t="s">
        <v>67</v>
      </c>
      <c r="D60" s="497">
        <v>20.45</v>
      </c>
      <c r="E60" s="497">
        <v>60</v>
      </c>
      <c r="F60" s="497">
        <v>377.14</v>
      </c>
      <c r="G60" s="498">
        <v>0.2</v>
      </c>
      <c r="H60" s="499">
        <f t="shared" si="3"/>
        <v>1.0844779127114601E-2</v>
      </c>
      <c r="I60" s="500">
        <v>2.0451000000000001</v>
      </c>
    </row>
    <row r="61" spans="1:9" x14ac:dyDescent="0.25">
      <c r="A61" s="513">
        <v>8</v>
      </c>
      <c r="B61" s="510" t="s">
        <v>461</v>
      </c>
      <c r="C61" s="496" t="s">
        <v>459</v>
      </c>
      <c r="D61" s="497">
        <v>45.89</v>
      </c>
      <c r="E61" s="497">
        <v>30</v>
      </c>
      <c r="F61" s="497">
        <v>188.57</v>
      </c>
      <c r="G61" s="498">
        <v>1</v>
      </c>
      <c r="H61" s="499">
        <f>(D61/F61)*G61</f>
        <v>0.24335790422654718</v>
      </c>
      <c r="I61" s="500">
        <v>45.889699999999998</v>
      </c>
    </row>
    <row r="62" spans="1:9" x14ac:dyDescent="0.25">
      <c r="A62" s="511"/>
      <c r="B62" s="512"/>
      <c r="C62" s="512"/>
      <c r="D62" s="512"/>
      <c r="E62" s="512"/>
      <c r="F62" s="512"/>
      <c r="G62" s="503" t="s">
        <v>121</v>
      </c>
      <c r="H62" s="504">
        <f>SUM(H54:H61)</f>
        <v>1.0609231126731917</v>
      </c>
      <c r="I62" s="505">
        <f>TRUNC((SUM(I54:I61)),2)</f>
        <v>200.05</v>
      </c>
    </row>
    <row r="63" spans="1:9" x14ac:dyDescent="0.25">
      <c r="A63" s="489"/>
      <c r="B63" s="130"/>
      <c r="C63" s="130"/>
      <c r="D63" s="130"/>
      <c r="E63" s="130"/>
      <c r="F63" s="130"/>
      <c r="G63" s="130"/>
      <c r="H63" s="130"/>
      <c r="I63" s="490"/>
    </row>
    <row r="64" spans="1:9" x14ac:dyDescent="0.25">
      <c r="A64" s="766" t="s">
        <v>465</v>
      </c>
      <c r="B64" s="767"/>
      <c r="C64" s="767"/>
      <c r="D64" s="767"/>
      <c r="E64" s="767"/>
      <c r="F64" s="767"/>
      <c r="G64" s="767"/>
      <c r="H64" s="767"/>
      <c r="I64" s="768"/>
    </row>
    <row r="65" spans="1:9" ht="25.5" x14ac:dyDescent="0.25">
      <c r="A65" s="506" t="s">
        <v>6</v>
      </c>
      <c r="B65" s="507" t="s">
        <v>446</v>
      </c>
      <c r="C65" s="507" t="s">
        <v>8</v>
      </c>
      <c r="D65" s="507" t="s">
        <v>447</v>
      </c>
      <c r="E65" s="507" t="s">
        <v>448</v>
      </c>
      <c r="F65" s="507" t="s">
        <v>449</v>
      </c>
      <c r="G65" s="507" t="s">
        <v>450</v>
      </c>
      <c r="H65" s="507" t="s">
        <v>451</v>
      </c>
      <c r="I65" s="508" t="s">
        <v>452</v>
      </c>
    </row>
    <row r="66" spans="1:9" x14ac:dyDescent="0.25">
      <c r="A66" s="494">
        <v>1</v>
      </c>
      <c r="B66" s="495" t="s">
        <v>458</v>
      </c>
      <c r="C66" s="509" t="s">
        <v>67</v>
      </c>
      <c r="D66" s="497">
        <v>331.8</v>
      </c>
      <c r="E66" s="497">
        <v>180</v>
      </c>
      <c r="F66" s="497">
        <v>1131.43</v>
      </c>
      <c r="G66" s="498">
        <v>1</v>
      </c>
      <c r="H66" s="499">
        <f>(D66/F66)*G66</f>
        <v>0.2932572054833264</v>
      </c>
      <c r="I66" s="500">
        <v>55.299599999999998</v>
      </c>
    </row>
    <row r="67" spans="1:9" x14ac:dyDescent="0.25">
      <c r="A67" s="494">
        <v>2</v>
      </c>
      <c r="B67" s="517" t="s">
        <v>460</v>
      </c>
      <c r="C67" s="518" t="s">
        <v>67</v>
      </c>
      <c r="D67" s="497">
        <v>16.309999999999999</v>
      </c>
      <c r="E67" s="497">
        <v>360</v>
      </c>
      <c r="F67" s="497">
        <v>2262.86</v>
      </c>
      <c r="G67" s="498">
        <v>1</v>
      </c>
      <c r="H67" s="499">
        <f t="shared" ref="H67:H70" si="4">(D67/F67)*G67</f>
        <v>7.2076929195796459E-3</v>
      </c>
      <c r="I67" s="500">
        <v>1.3588</v>
      </c>
    </row>
    <row r="68" spans="1:9" x14ac:dyDescent="0.25">
      <c r="A68" s="494">
        <v>3</v>
      </c>
      <c r="B68" s="495" t="s">
        <v>453</v>
      </c>
      <c r="C68" s="496" t="s">
        <v>67</v>
      </c>
      <c r="D68" s="497">
        <v>75.52</v>
      </c>
      <c r="E68" s="497">
        <v>90</v>
      </c>
      <c r="F68" s="497">
        <v>565.71</v>
      </c>
      <c r="G68" s="498">
        <v>1</v>
      </c>
      <c r="H68" s="499">
        <f>(D68/F68)*G68</f>
        <v>0.13349596082798607</v>
      </c>
      <c r="I68" s="500">
        <v>25.172499999999999</v>
      </c>
    </row>
    <row r="69" spans="1:9" x14ac:dyDescent="0.25">
      <c r="A69" s="494">
        <v>4</v>
      </c>
      <c r="B69" s="495" t="s">
        <v>455</v>
      </c>
      <c r="C69" s="496" t="s">
        <v>67</v>
      </c>
      <c r="D69" s="497">
        <v>267.47000000000003</v>
      </c>
      <c r="E69" s="497">
        <v>130</v>
      </c>
      <c r="F69" s="497">
        <v>817.14</v>
      </c>
      <c r="G69" s="498">
        <v>0.5</v>
      </c>
      <c r="H69" s="499">
        <f t="shared" ref="H69" si="5">(D69/F69)*G69</f>
        <v>0.16366228553246692</v>
      </c>
      <c r="I69" s="500">
        <v>30.8613</v>
      </c>
    </row>
    <row r="70" spans="1:9" x14ac:dyDescent="0.25">
      <c r="A70" s="494">
        <v>5</v>
      </c>
      <c r="B70" s="495" t="s">
        <v>454</v>
      </c>
      <c r="C70" s="496" t="s">
        <v>67</v>
      </c>
      <c r="D70" s="497">
        <v>20.45</v>
      </c>
      <c r="E70" s="497">
        <v>60</v>
      </c>
      <c r="F70" s="497">
        <v>377.14</v>
      </c>
      <c r="G70" s="498">
        <v>0.2</v>
      </c>
      <c r="H70" s="499">
        <f t="shared" si="4"/>
        <v>1.0844779127114601E-2</v>
      </c>
      <c r="I70" s="500">
        <v>2.0451000000000001</v>
      </c>
    </row>
    <row r="71" spans="1:9" x14ac:dyDescent="0.25">
      <c r="A71" s="494">
        <v>6</v>
      </c>
      <c r="B71" s="510" t="s">
        <v>461</v>
      </c>
      <c r="C71" s="496" t="s">
        <v>459</v>
      </c>
      <c r="D71" s="497">
        <v>45.89</v>
      </c>
      <c r="E71" s="497">
        <v>30</v>
      </c>
      <c r="F71" s="497">
        <v>188.57</v>
      </c>
      <c r="G71" s="498">
        <v>1</v>
      </c>
      <c r="H71" s="499">
        <f>(D71/F71)*G71</f>
        <v>0.24335790422654718</v>
      </c>
      <c r="I71" s="500">
        <v>45.889699999999998</v>
      </c>
    </row>
    <row r="72" spans="1:9" x14ac:dyDescent="0.25">
      <c r="A72" s="511"/>
      <c r="B72" s="512"/>
      <c r="C72" s="512"/>
      <c r="D72" s="512"/>
      <c r="E72" s="512"/>
      <c r="F72" s="512"/>
      <c r="G72" s="503" t="s">
        <v>121</v>
      </c>
      <c r="H72" s="504">
        <f>SUM(H66:H71)</f>
        <v>0.85182582811702079</v>
      </c>
      <c r="I72" s="505">
        <f>TRUNC((SUM(I66:I71)),2)</f>
        <v>160.62</v>
      </c>
    </row>
    <row r="73" spans="1:9" x14ac:dyDescent="0.25">
      <c r="A73" s="489"/>
      <c r="B73" s="130"/>
      <c r="C73" s="130"/>
      <c r="D73" s="130"/>
      <c r="E73" s="130"/>
      <c r="F73" s="130"/>
      <c r="G73" s="130"/>
      <c r="H73" s="130"/>
      <c r="I73" s="490"/>
    </row>
    <row r="74" spans="1:9" x14ac:dyDescent="0.25">
      <c r="A74" s="766" t="s">
        <v>466</v>
      </c>
      <c r="B74" s="767"/>
      <c r="C74" s="767"/>
      <c r="D74" s="767"/>
      <c r="E74" s="767"/>
      <c r="F74" s="767"/>
      <c r="G74" s="767"/>
      <c r="H74" s="767"/>
      <c r="I74" s="768"/>
    </row>
    <row r="75" spans="1:9" ht="25.5" x14ac:dyDescent="0.25">
      <c r="A75" s="506" t="s">
        <v>6</v>
      </c>
      <c r="B75" s="507" t="s">
        <v>446</v>
      </c>
      <c r="C75" s="507" t="s">
        <v>8</v>
      </c>
      <c r="D75" s="507" t="s">
        <v>447</v>
      </c>
      <c r="E75" s="507" t="s">
        <v>448</v>
      </c>
      <c r="F75" s="507" t="s">
        <v>449</v>
      </c>
      <c r="G75" s="507" t="s">
        <v>450</v>
      </c>
      <c r="H75" s="507" t="s">
        <v>451</v>
      </c>
      <c r="I75" s="508" t="s">
        <v>452</v>
      </c>
    </row>
    <row r="76" spans="1:9" x14ac:dyDescent="0.25">
      <c r="A76" s="494">
        <v>1</v>
      </c>
      <c r="B76" s="495" t="s">
        <v>458</v>
      </c>
      <c r="C76" s="496" t="s">
        <v>459</v>
      </c>
      <c r="D76" s="497">
        <v>331.8</v>
      </c>
      <c r="E76" s="497">
        <v>180</v>
      </c>
      <c r="F76" s="497">
        <v>1131.43</v>
      </c>
      <c r="G76" s="498">
        <v>1</v>
      </c>
      <c r="H76" s="499">
        <f t="shared" ref="H76:H84" si="6">(D76/F76)*G76</f>
        <v>0.2932572054833264</v>
      </c>
      <c r="I76" s="500">
        <f>$I$39</f>
        <v>55.299599999999998</v>
      </c>
    </row>
    <row r="77" spans="1:9" x14ac:dyDescent="0.25">
      <c r="A77" s="494">
        <v>2</v>
      </c>
      <c r="B77" s="495" t="s">
        <v>460</v>
      </c>
      <c r="C77" s="496" t="s">
        <v>67</v>
      </c>
      <c r="D77" s="497">
        <v>15.73</v>
      </c>
      <c r="E77" s="497">
        <v>360</v>
      </c>
      <c r="F77" s="497">
        <v>2262.86</v>
      </c>
      <c r="G77" s="498">
        <v>1</v>
      </c>
      <c r="H77" s="499">
        <f t="shared" si="6"/>
        <v>6.9513801118937981E-3</v>
      </c>
      <c r="I77" s="500">
        <v>1.3588</v>
      </c>
    </row>
    <row r="78" spans="1:9" x14ac:dyDescent="0.25">
      <c r="A78" s="494">
        <v>3</v>
      </c>
      <c r="B78" s="495" t="s">
        <v>453</v>
      </c>
      <c r="C78" s="496" t="s">
        <v>67</v>
      </c>
      <c r="D78" s="497">
        <v>75.52</v>
      </c>
      <c r="E78" s="497">
        <v>90</v>
      </c>
      <c r="F78" s="497">
        <v>565.71</v>
      </c>
      <c r="G78" s="498">
        <v>1</v>
      </c>
      <c r="H78" s="499">
        <f>(D78/F78)*G78</f>
        <v>0.13349596082798607</v>
      </c>
      <c r="I78" s="500">
        <v>25.172499999999999</v>
      </c>
    </row>
    <row r="79" spans="1:9" x14ac:dyDescent="0.25">
      <c r="A79" s="494">
        <v>4</v>
      </c>
      <c r="B79" s="495" t="s">
        <v>467</v>
      </c>
      <c r="C79" s="496" t="s">
        <v>67</v>
      </c>
      <c r="D79" s="497">
        <v>45.31</v>
      </c>
      <c r="E79" s="497">
        <v>90</v>
      </c>
      <c r="F79" s="497">
        <v>565.71</v>
      </c>
      <c r="G79" s="519">
        <v>0.4</v>
      </c>
      <c r="H79" s="499">
        <f t="shared" si="6"/>
        <v>3.2037616446589243E-2</v>
      </c>
      <c r="I79" s="500">
        <v>6.2610999999999999</v>
      </c>
    </row>
    <row r="80" spans="1:9" x14ac:dyDescent="0.25">
      <c r="A80" s="494">
        <v>5</v>
      </c>
      <c r="B80" s="495" t="s">
        <v>463</v>
      </c>
      <c r="C80" s="496" t="s">
        <v>67</v>
      </c>
      <c r="D80" s="497">
        <v>14.16</v>
      </c>
      <c r="E80" s="497">
        <v>10</v>
      </c>
      <c r="F80" s="497">
        <v>73.33</v>
      </c>
      <c r="G80" s="519">
        <v>0.7</v>
      </c>
      <c r="H80" s="499">
        <f t="shared" si="6"/>
        <v>0.13516978044456565</v>
      </c>
      <c r="I80" s="500">
        <v>26.411100000000001</v>
      </c>
    </row>
    <row r="81" spans="1:9" x14ac:dyDescent="0.25">
      <c r="A81" s="494">
        <v>6</v>
      </c>
      <c r="B81" s="495" t="s">
        <v>468</v>
      </c>
      <c r="C81" s="496" t="s">
        <v>459</v>
      </c>
      <c r="D81" s="497">
        <v>7.29</v>
      </c>
      <c r="E81" s="497">
        <v>2</v>
      </c>
      <c r="F81" s="497">
        <v>14.67</v>
      </c>
      <c r="G81" s="519">
        <v>0.3</v>
      </c>
      <c r="H81" s="499">
        <f t="shared" si="6"/>
        <v>0.14907975460122699</v>
      </c>
      <c r="I81" s="500">
        <v>28.118400000000001</v>
      </c>
    </row>
    <row r="82" spans="1:9" x14ac:dyDescent="0.25">
      <c r="A82" s="494">
        <v>7</v>
      </c>
      <c r="B82" s="495" t="s">
        <v>464</v>
      </c>
      <c r="C82" s="496" t="s">
        <v>67</v>
      </c>
      <c r="D82" s="514">
        <v>6.13</v>
      </c>
      <c r="E82" s="514">
        <v>60</v>
      </c>
      <c r="F82" s="514">
        <v>377.14</v>
      </c>
      <c r="G82" s="515">
        <v>1</v>
      </c>
      <c r="H82" s="499">
        <f t="shared" si="6"/>
        <v>1.6253911014477384E-2</v>
      </c>
      <c r="I82" s="516">
        <v>3.0661</v>
      </c>
    </row>
    <row r="83" spans="1:9" x14ac:dyDescent="0.25">
      <c r="A83" s="494">
        <v>8</v>
      </c>
      <c r="B83" s="495" t="s">
        <v>455</v>
      </c>
      <c r="C83" s="496" t="s">
        <v>67</v>
      </c>
      <c r="D83" s="497">
        <v>267.47000000000003</v>
      </c>
      <c r="E83" s="497">
        <v>130</v>
      </c>
      <c r="F83" s="497">
        <v>817.14</v>
      </c>
      <c r="G83" s="498">
        <v>0.5</v>
      </c>
      <c r="H83" s="499">
        <f t="shared" si="6"/>
        <v>0.16366228553246692</v>
      </c>
      <c r="I83" s="500">
        <v>30.8613</v>
      </c>
    </row>
    <row r="84" spans="1:9" x14ac:dyDescent="0.25">
      <c r="A84" s="494">
        <v>9</v>
      </c>
      <c r="B84" s="495" t="s">
        <v>454</v>
      </c>
      <c r="C84" s="496" t="s">
        <v>67</v>
      </c>
      <c r="D84" s="497">
        <v>20.45</v>
      </c>
      <c r="E84" s="497">
        <v>60</v>
      </c>
      <c r="F84" s="497">
        <v>377.14</v>
      </c>
      <c r="G84" s="498">
        <v>0.2</v>
      </c>
      <c r="H84" s="499">
        <f t="shared" si="6"/>
        <v>1.0844779127114601E-2</v>
      </c>
      <c r="I84" s="500">
        <v>2.0451000000000001</v>
      </c>
    </row>
    <row r="85" spans="1:9" x14ac:dyDescent="0.25">
      <c r="A85" s="494">
        <v>10</v>
      </c>
      <c r="B85" s="510" t="s">
        <v>461</v>
      </c>
      <c r="C85" s="496" t="s">
        <v>459</v>
      </c>
      <c r="D85" s="497">
        <v>45.89</v>
      </c>
      <c r="E85" s="497">
        <v>30</v>
      </c>
      <c r="F85" s="497">
        <v>188.57</v>
      </c>
      <c r="G85" s="498">
        <v>1</v>
      </c>
      <c r="H85" s="499">
        <f>(D85/F85)*G85</f>
        <v>0.24335790422654718</v>
      </c>
      <c r="I85" s="500">
        <v>45.889699999999998</v>
      </c>
    </row>
    <row r="86" spans="1:9" x14ac:dyDescent="0.25">
      <c r="A86" s="511"/>
      <c r="B86" s="512"/>
      <c r="C86" s="512"/>
      <c r="D86" s="512"/>
      <c r="E86" s="512"/>
      <c r="F86" s="512"/>
      <c r="G86" s="503" t="s">
        <v>121</v>
      </c>
      <c r="H86" s="504">
        <f>SUM(H76:H85)</f>
        <v>1.1841105778161942</v>
      </c>
      <c r="I86" s="505">
        <f>TRUNC((SUM(I76:I85)),2)</f>
        <v>224.48</v>
      </c>
    </row>
    <row r="87" spans="1:9" x14ac:dyDescent="0.25">
      <c r="A87" s="489"/>
      <c r="B87" s="130"/>
      <c r="C87" s="130"/>
      <c r="D87" s="130"/>
      <c r="E87" s="130"/>
      <c r="F87" s="130"/>
      <c r="G87" s="130"/>
      <c r="H87" s="130"/>
      <c r="I87" s="490"/>
    </row>
    <row r="88" spans="1:9" x14ac:dyDescent="0.25">
      <c r="A88" s="766" t="s">
        <v>469</v>
      </c>
      <c r="B88" s="767"/>
      <c r="C88" s="767"/>
      <c r="D88" s="767"/>
      <c r="E88" s="767"/>
      <c r="F88" s="767"/>
      <c r="G88" s="767"/>
      <c r="H88" s="767"/>
      <c r="I88" s="768"/>
    </row>
    <row r="89" spans="1:9" ht="25.5" x14ac:dyDescent="0.25">
      <c r="A89" s="506" t="s">
        <v>6</v>
      </c>
      <c r="B89" s="507" t="s">
        <v>446</v>
      </c>
      <c r="C89" s="507" t="s">
        <v>8</v>
      </c>
      <c r="D89" s="507" t="s">
        <v>447</v>
      </c>
      <c r="E89" s="507" t="s">
        <v>448</v>
      </c>
      <c r="F89" s="507" t="s">
        <v>449</v>
      </c>
      <c r="G89" s="507" t="s">
        <v>450</v>
      </c>
      <c r="H89" s="507" t="s">
        <v>451</v>
      </c>
      <c r="I89" s="508" t="s">
        <v>452</v>
      </c>
    </row>
    <row r="90" spans="1:9" x14ac:dyDescent="0.25">
      <c r="A90" s="494">
        <v>1</v>
      </c>
      <c r="B90" s="495" t="s">
        <v>458</v>
      </c>
      <c r="C90" s="496" t="s">
        <v>459</v>
      </c>
      <c r="D90" s="497">
        <v>331.8</v>
      </c>
      <c r="E90" s="497">
        <v>180</v>
      </c>
      <c r="F90" s="497">
        <v>1131.43</v>
      </c>
      <c r="G90" s="498">
        <v>1</v>
      </c>
      <c r="H90" s="499">
        <f t="shared" ref="H90:H98" si="7">(D90/F90)*G90</f>
        <v>0.2932572054833264</v>
      </c>
      <c r="I90" s="500">
        <f>$I$39</f>
        <v>55.299599999999998</v>
      </c>
    </row>
    <row r="91" spans="1:9" x14ac:dyDescent="0.25">
      <c r="A91" s="494">
        <v>2</v>
      </c>
      <c r="B91" s="495" t="s">
        <v>460</v>
      </c>
      <c r="C91" s="496" t="s">
        <v>67</v>
      </c>
      <c r="D91" s="497">
        <v>16.309999999999999</v>
      </c>
      <c r="E91" s="497">
        <v>360</v>
      </c>
      <c r="F91" s="497">
        <v>2262.86</v>
      </c>
      <c r="G91" s="498">
        <v>1</v>
      </c>
      <c r="H91" s="499">
        <f t="shared" si="7"/>
        <v>7.2076929195796459E-3</v>
      </c>
      <c r="I91" s="500">
        <v>1.3588</v>
      </c>
    </row>
    <row r="92" spans="1:9" x14ac:dyDescent="0.25">
      <c r="A92" s="494">
        <v>3</v>
      </c>
      <c r="B92" s="495" t="s">
        <v>453</v>
      </c>
      <c r="C92" s="496" t="s">
        <v>67</v>
      </c>
      <c r="D92" s="497">
        <v>75.52</v>
      </c>
      <c r="E92" s="497">
        <v>90</v>
      </c>
      <c r="F92" s="497">
        <v>565.71</v>
      </c>
      <c r="G92" s="498">
        <v>1</v>
      </c>
      <c r="H92" s="499">
        <f>(D92/F92)*G92</f>
        <v>0.13349596082798607</v>
      </c>
      <c r="I92" s="500">
        <v>25.172499999999999</v>
      </c>
    </row>
    <row r="93" spans="1:9" x14ac:dyDescent="0.25">
      <c r="A93" s="494">
        <v>4</v>
      </c>
      <c r="B93" s="495" t="s">
        <v>467</v>
      </c>
      <c r="C93" s="496" t="s">
        <v>67</v>
      </c>
      <c r="D93" s="497">
        <v>46.96</v>
      </c>
      <c r="E93" s="497">
        <v>90</v>
      </c>
      <c r="F93" s="497">
        <v>565.71</v>
      </c>
      <c r="G93" s="519">
        <v>0.3</v>
      </c>
      <c r="H93" s="499">
        <f t="shared" si="7"/>
        <v>2.4903218963780029E-2</v>
      </c>
      <c r="I93" s="500">
        <v>4.6858000000000004</v>
      </c>
    </row>
    <row r="94" spans="1:9" x14ac:dyDescent="0.25">
      <c r="A94" s="494">
        <v>5</v>
      </c>
      <c r="B94" s="495" t="s">
        <v>463</v>
      </c>
      <c r="C94" s="496" t="s">
        <v>67</v>
      </c>
      <c r="D94" s="497">
        <v>14.67</v>
      </c>
      <c r="E94" s="497">
        <v>10</v>
      </c>
      <c r="F94" s="497">
        <v>73.33</v>
      </c>
      <c r="G94" s="519">
        <v>0.5</v>
      </c>
      <c r="H94" s="499">
        <f t="shared" si="7"/>
        <v>0.1000272739669985</v>
      </c>
      <c r="I94" s="500">
        <v>18.865100000000002</v>
      </c>
    </row>
    <row r="95" spans="1:9" x14ac:dyDescent="0.25">
      <c r="A95" s="494">
        <v>6</v>
      </c>
      <c r="B95" s="495" t="s">
        <v>468</v>
      </c>
      <c r="C95" s="496" t="s">
        <v>67</v>
      </c>
      <c r="D95" s="497">
        <v>4.99</v>
      </c>
      <c r="E95" s="497">
        <v>2</v>
      </c>
      <c r="F95" s="497">
        <v>14.67</v>
      </c>
      <c r="G95" s="519">
        <v>0.2</v>
      </c>
      <c r="H95" s="499">
        <f t="shared" si="7"/>
        <v>6.8029993183367429E-2</v>
      </c>
      <c r="I95" s="500">
        <v>12.831300000000001</v>
      </c>
    </row>
    <row r="96" spans="1:9" x14ac:dyDescent="0.25">
      <c r="A96" s="494">
        <v>7</v>
      </c>
      <c r="B96" s="495" t="s">
        <v>464</v>
      </c>
      <c r="C96" s="496" t="s">
        <v>67</v>
      </c>
      <c r="D96" s="514">
        <v>6.33</v>
      </c>
      <c r="E96" s="514">
        <v>60</v>
      </c>
      <c r="F96" s="514">
        <v>377.14</v>
      </c>
      <c r="G96" s="519">
        <v>0.7</v>
      </c>
      <c r="H96" s="499">
        <f t="shared" si="7"/>
        <v>1.1748952643580633E-2</v>
      </c>
      <c r="I96" s="500">
        <v>2.2149999999999999</v>
      </c>
    </row>
    <row r="97" spans="1:9" x14ac:dyDescent="0.25">
      <c r="A97" s="494">
        <v>8</v>
      </c>
      <c r="B97" s="495" t="s">
        <v>455</v>
      </c>
      <c r="C97" s="496" t="s">
        <v>67</v>
      </c>
      <c r="D97" s="497">
        <v>267.47000000000003</v>
      </c>
      <c r="E97" s="497">
        <v>130</v>
      </c>
      <c r="F97" s="497">
        <v>817.14</v>
      </c>
      <c r="G97" s="498">
        <v>0.5</v>
      </c>
      <c r="H97" s="499">
        <f t="shared" si="7"/>
        <v>0.16366228553246692</v>
      </c>
      <c r="I97" s="500">
        <v>30.8613</v>
      </c>
    </row>
    <row r="98" spans="1:9" x14ac:dyDescent="0.25">
      <c r="A98" s="494">
        <v>9</v>
      </c>
      <c r="B98" s="495" t="s">
        <v>454</v>
      </c>
      <c r="C98" s="496" t="s">
        <v>67</v>
      </c>
      <c r="D98" s="497">
        <v>20.45</v>
      </c>
      <c r="E98" s="497">
        <v>60</v>
      </c>
      <c r="F98" s="497">
        <v>377.14</v>
      </c>
      <c r="G98" s="498">
        <v>0.2</v>
      </c>
      <c r="H98" s="499">
        <f t="shared" si="7"/>
        <v>1.0844779127114601E-2</v>
      </c>
      <c r="I98" s="500">
        <v>2.0451000000000001</v>
      </c>
    </row>
    <row r="99" spans="1:9" x14ac:dyDescent="0.25">
      <c r="A99" s="494">
        <v>10</v>
      </c>
      <c r="B99" s="510" t="s">
        <v>461</v>
      </c>
      <c r="C99" s="496" t="s">
        <v>459</v>
      </c>
      <c r="D99" s="497">
        <v>45.89</v>
      </c>
      <c r="E99" s="497">
        <v>30</v>
      </c>
      <c r="F99" s="497">
        <v>188.57</v>
      </c>
      <c r="G99" s="498">
        <v>1</v>
      </c>
      <c r="H99" s="499">
        <f>(D99/F99)*G99</f>
        <v>0.24335790422654718</v>
      </c>
      <c r="I99" s="500">
        <v>45.889699999999998</v>
      </c>
    </row>
    <row r="100" spans="1:9" ht="15.75" thickBot="1" x14ac:dyDescent="0.3">
      <c r="A100" s="520"/>
      <c r="B100" s="521"/>
      <c r="C100" s="521"/>
      <c r="D100" s="521"/>
      <c r="E100" s="521"/>
      <c r="F100" s="521"/>
      <c r="G100" s="522" t="s">
        <v>121</v>
      </c>
      <c r="H100" s="523">
        <f>SUM(H90:H99)</f>
        <v>1.0565352668747474</v>
      </c>
      <c r="I100" s="524">
        <f>TRUNC((SUM(I90:I99)),2)</f>
        <v>199.22</v>
      </c>
    </row>
    <row r="101" spans="1:9" x14ac:dyDescent="0.25">
      <c r="A101" s="763" t="s">
        <v>470</v>
      </c>
      <c r="B101" s="763"/>
      <c r="C101" s="763"/>
      <c r="D101" s="763"/>
      <c r="E101" s="763"/>
      <c r="F101" s="763"/>
      <c r="G101" s="763"/>
      <c r="H101" s="763"/>
      <c r="I101" s="763"/>
    </row>
    <row r="102" spans="1:9" x14ac:dyDescent="0.25">
      <c r="A102" s="763" t="s">
        <v>471</v>
      </c>
      <c r="B102" s="763"/>
      <c r="C102" s="763"/>
      <c r="D102" s="763"/>
      <c r="E102" s="763"/>
      <c r="F102" s="763"/>
      <c r="G102" s="763"/>
      <c r="H102" s="763"/>
      <c r="I102" s="763"/>
    </row>
    <row r="103" spans="1:9" ht="15.75" thickBot="1" x14ac:dyDescent="0.3">
      <c r="A103" s="130"/>
      <c r="B103" s="130"/>
      <c r="C103" s="130"/>
      <c r="D103" s="130"/>
      <c r="E103" s="130"/>
      <c r="F103" s="130"/>
      <c r="G103" s="130"/>
      <c r="H103" s="130"/>
      <c r="I103" s="130"/>
    </row>
    <row r="104" spans="1:9" x14ac:dyDescent="0.25">
      <c r="A104" s="754" t="s">
        <v>472</v>
      </c>
      <c r="B104" s="755"/>
      <c r="C104" s="755"/>
      <c r="D104" s="755"/>
      <c r="E104" s="755"/>
      <c r="F104" s="755"/>
      <c r="G104" s="755"/>
      <c r="H104" s="755"/>
      <c r="I104" s="756"/>
    </row>
    <row r="105" spans="1:9" x14ac:dyDescent="0.25">
      <c r="A105" s="525" t="s">
        <v>137</v>
      </c>
      <c r="B105" s="526" t="s">
        <v>210</v>
      </c>
      <c r="C105" s="527"/>
      <c r="D105" s="528"/>
      <c r="E105" s="529"/>
      <c r="F105" s="529"/>
      <c r="G105" s="529"/>
      <c r="H105" s="529"/>
      <c r="I105" s="530"/>
    </row>
    <row r="106" spans="1:9" x14ac:dyDescent="0.25">
      <c r="A106" s="525" t="s">
        <v>140</v>
      </c>
      <c r="B106" s="531" t="s">
        <v>51</v>
      </c>
      <c r="C106" s="527"/>
      <c r="D106" s="528"/>
      <c r="E106" s="529"/>
      <c r="F106" s="529"/>
      <c r="G106" s="529"/>
      <c r="H106" s="529"/>
      <c r="I106" s="530"/>
    </row>
    <row r="107" spans="1:9" x14ac:dyDescent="0.25">
      <c r="A107" s="525" t="s">
        <v>142</v>
      </c>
      <c r="B107" s="477">
        <v>45809</v>
      </c>
      <c r="C107" s="527"/>
      <c r="D107" s="528"/>
      <c r="E107" s="529"/>
      <c r="F107" s="529"/>
      <c r="G107" s="529"/>
      <c r="H107" s="529"/>
      <c r="I107" s="530"/>
    </row>
    <row r="108" spans="1:9" x14ac:dyDescent="0.25">
      <c r="A108" s="525" t="s">
        <v>141</v>
      </c>
      <c r="B108" s="526" t="s">
        <v>67</v>
      </c>
      <c r="C108" s="527"/>
      <c r="D108" s="528"/>
      <c r="E108" s="529"/>
      <c r="F108" s="529"/>
      <c r="G108" s="529"/>
      <c r="H108" s="529"/>
      <c r="I108" s="530"/>
    </row>
    <row r="109" spans="1:9" x14ac:dyDescent="0.25">
      <c r="A109" s="525" t="s">
        <v>343</v>
      </c>
      <c r="B109" s="526" t="s">
        <v>211</v>
      </c>
      <c r="C109" s="527"/>
      <c r="D109" s="528"/>
      <c r="E109" s="529"/>
      <c r="F109" s="529"/>
      <c r="G109" s="529"/>
      <c r="H109" s="529"/>
      <c r="I109" s="530"/>
    </row>
    <row r="110" spans="1:9" x14ac:dyDescent="0.25">
      <c r="A110" s="532" t="s">
        <v>473</v>
      </c>
      <c r="B110" s="750"/>
      <c r="C110" s="751"/>
      <c r="D110" s="751"/>
      <c r="E110" s="751"/>
      <c r="F110" s="751"/>
      <c r="G110" s="751"/>
      <c r="H110" s="751"/>
      <c r="I110" s="757"/>
    </row>
    <row r="111" spans="1:9" x14ac:dyDescent="0.25">
      <c r="A111" s="764" t="s">
        <v>442</v>
      </c>
      <c r="B111" s="765"/>
      <c r="C111" s="765"/>
      <c r="D111" s="765"/>
      <c r="E111" s="765"/>
      <c r="F111" s="765"/>
      <c r="G111" s="765"/>
      <c r="H111" s="765"/>
      <c r="I111" s="533">
        <v>188.57</v>
      </c>
    </row>
    <row r="112" spans="1:9" x14ac:dyDescent="0.25">
      <c r="A112" s="764" t="s">
        <v>443</v>
      </c>
      <c r="B112" s="765"/>
      <c r="C112" s="765"/>
      <c r="D112" s="765"/>
      <c r="E112" s="765"/>
      <c r="F112" s="765"/>
      <c r="G112" s="765"/>
      <c r="H112" s="765"/>
      <c r="I112" s="534">
        <f>I111/30</f>
        <v>6.2856666666666667</v>
      </c>
    </row>
    <row r="113" spans="1:9" x14ac:dyDescent="0.25">
      <c r="A113" s="535"/>
      <c r="B113" s="536"/>
      <c r="C113" s="537"/>
      <c r="D113" s="537"/>
      <c r="E113" s="537"/>
      <c r="F113" s="537"/>
      <c r="G113" s="537"/>
      <c r="H113" s="537"/>
      <c r="I113" s="538"/>
    </row>
    <row r="114" spans="1:9" x14ac:dyDescent="0.25">
      <c r="A114" s="760" t="s">
        <v>474</v>
      </c>
      <c r="B114" s="761"/>
      <c r="C114" s="761"/>
      <c r="D114" s="761"/>
      <c r="E114" s="761"/>
      <c r="F114" s="761"/>
      <c r="G114" s="761"/>
      <c r="H114" s="761"/>
      <c r="I114" s="762"/>
    </row>
    <row r="115" spans="1:9" x14ac:dyDescent="0.25">
      <c r="A115" s="539"/>
      <c r="B115" s="540"/>
      <c r="C115" s="503"/>
      <c r="D115" s="541"/>
      <c r="E115" s="542"/>
      <c r="F115" s="543"/>
      <c r="G115" s="542" t="s">
        <v>121</v>
      </c>
      <c r="H115" s="541">
        <v>0</v>
      </c>
      <c r="I115" s="544">
        <v>0</v>
      </c>
    </row>
    <row r="116" spans="1:9" x14ac:dyDescent="0.25">
      <c r="A116" s="535"/>
      <c r="B116" s="545"/>
      <c r="C116" s="546"/>
      <c r="D116" s="547"/>
      <c r="E116" s="548"/>
      <c r="F116" s="548"/>
      <c r="G116" s="548"/>
      <c r="H116" s="549"/>
      <c r="I116" s="550"/>
    </row>
    <row r="117" spans="1:9" x14ac:dyDescent="0.25">
      <c r="A117" s="760" t="s">
        <v>457</v>
      </c>
      <c r="B117" s="761"/>
      <c r="C117" s="761"/>
      <c r="D117" s="761"/>
      <c r="E117" s="761"/>
      <c r="F117" s="761"/>
      <c r="G117" s="761"/>
      <c r="H117" s="761"/>
      <c r="I117" s="762"/>
    </row>
    <row r="118" spans="1:9" ht="25.5" x14ac:dyDescent="0.25">
      <c r="A118" s="551" t="s">
        <v>6</v>
      </c>
      <c r="B118" s="552" t="s">
        <v>446</v>
      </c>
      <c r="C118" s="552" t="s">
        <v>8</v>
      </c>
      <c r="D118" s="552" t="s">
        <v>447</v>
      </c>
      <c r="E118" s="552" t="s">
        <v>448</v>
      </c>
      <c r="F118" s="552" t="s">
        <v>449</v>
      </c>
      <c r="G118" s="552" t="s">
        <v>450</v>
      </c>
      <c r="H118" s="552" t="s">
        <v>451</v>
      </c>
      <c r="I118" s="553" t="s">
        <v>452</v>
      </c>
    </row>
    <row r="119" spans="1:9" x14ac:dyDescent="0.25">
      <c r="A119" s="554">
        <v>1</v>
      </c>
      <c r="B119" s="517" t="s">
        <v>475</v>
      </c>
      <c r="C119" s="518" t="s">
        <v>459</v>
      </c>
      <c r="D119" s="555">
        <v>21.9</v>
      </c>
      <c r="E119" s="556">
        <v>360</v>
      </c>
      <c r="F119" s="557">
        <v>2262.86</v>
      </c>
      <c r="G119" s="558">
        <v>0.5</v>
      </c>
      <c r="H119" s="559">
        <f>(D119/F119)*G119</f>
        <v>4.8390090416552496E-3</v>
      </c>
      <c r="I119" s="560">
        <f>ROUND((H119*$I$111),5)</f>
        <v>0.91249000000000002</v>
      </c>
    </row>
    <row r="120" spans="1:9" x14ac:dyDescent="0.25">
      <c r="A120" s="554">
        <v>2</v>
      </c>
      <c r="B120" s="517" t="s">
        <v>476</v>
      </c>
      <c r="C120" s="518" t="s">
        <v>67</v>
      </c>
      <c r="D120" s="555">
        <v>35.36</v>
      </c>
      <c r="E120" s="556">
        <v>360</v>
      </c>
      <c r="F120" s="557">
        <v>2262.86</v>
      </c>
      <c r="G120" s="558">
        <v>0.2</v>
      </c>
      <c r="H120" s="559">
        <f>D120/F120*G120</f>
        <v>3.1252485792315921E-3</v>
      </c>
      <c r="I120" s="560">
        <f t="shared" ref="I120:I121" si="8">ROUND((H120*$I$111),5)</f>
        <v>0.58933000000000002</v>
      </c>
    </row>
    <row r="121" spans="1:9" x14ac:dyDescent="0.25">
      <c r="A121" s="554">
        <v>3</v>
      </c>
      <c r="B121" s="517" t="s">
        <v>477</v>
      </c>
      <c r="C121" s="518" t="s">
        <v>67</v>
      </c>
      <c r="D121" s="555">
        <v>51</v>
      </c>
      <c r="E121" s="556">
        <v>360</v>
      </c>
      <c r="F121" s="557">
        <v>2262.86</v>
      </c>
      <c r="G121" s="558">
        <v>0.2</v>
      </c>
      <c r="H121" s="559">
        <f>D121/F121*G121</f>
        <v>4.5075700661994112E-3</v>
      </c>
      <c r="I121" s="560">
        <f t="shared" si="8"/>
        <v>0.84999000000000002</v>
      </c>
    </row>
    <row r="122" spans="1:9" x14ac:dyDescent="0.25">
      <c r="A122" s="539"/>
      <c r="B122" s="162"/>
      <c r="C122" s="503"/>
      <c r="D122" s="561"/>
      <c r="E122" s="562"/>
      <c r="F122" s="563"/>
      <c r="G122" s="562" t="s">
        <v>121</v>
      </c>
      <c r="H122" s="504">
        <f>SUM(H119:H121)</f>
        <v>1.2471827687086252E-2</v>
      </c>
      <c r="I122" s="505">
        <f>TRUNC((SUM(I119:I121)),2)</f>
        <v>2.35</v>
      </c>
    </row>
    <row r="123" spans="1:9" x14ac:dyDescent="0.25">
      <c r="A123" s="535"/>
      <c r="B123" s="536"/>
      <c r="C123" s="537"/>
      <c r="D123" s="537"/>
      <c r="E123" s="537"/>
      <c r="F123" s="537"/>
      <c r="G123" s="537"/>
      <c r="H123" s="537"/>
      <c r="I123" s="538"/>
    </row>
    <row r="124" spans="1:9" x14ac:dyDescent="0.25">
      <c r="A124" s="760" t="s">
        <v>462</v>
      </c>
      <c r="B124" s="761"/>
      <c r="C124" s="761"/>
      <c r="D124" s="761"/>
      <c r="E124" s="761"/>
      <c r="F124" s="761"/>
      <c r="G124" s="761"/>
      <c r="H124" s="761"/>
      <c r="I124" s="762"/>
    </row>
    <row r="125" spans="1:9" ht="25.5" x14ac:dyDescent="0.25">
      <c r="A125" s="551" t="s">
        <v>6</v>
      </c>
      <c r="B125" s="552" t="s">
        <v>446</v>
      </c>
      <c r="C125" s="552" t="s">
        <v>8</v>
      </c>
      <c r="D125" s="552" t="s">
        <v>447</v>
      </c>
      <c r="E125" s="552" t="s">
        <v>448</v>
      </c>
      <c r="F125" s="552" t="s">
        <v>449</v>
      </c>
      <c r="G125" s="552" t="s">
        <v>450</v>
      </c>
      <c r="H125" s="552" t="s">
        <v>451</v>
      </c>
      <c r="I125" s="553" t="s">
        <v>452</v>
      </c>
    </row>
    <row r="126" spans="1:9" x14ac:dyDescent="0.25">
      <c r="A126" s="554">
        <v>1</v>
      </c>
      <c r="B126" s="517" t="s">
        <v>478</v>
      </c>
      <c r="C126" s="518" t="s">
        <v>459</v>
      </c>
      <c r="D126" s="555">
        <v>319.89999999999998</v>
      </c>
      <c r="E126" s="556">
        <v>720</v>
      </c>
      <c r="F126" s="564">
        <f>E126*$I$112</f>
        <v>4525.68</v>
      </c>
      <c r="G126" s="558">
        <v>0.5</v>
      </c>
      <c r="H126" s="565">
        <f>(D126/F126)*G126</f>
        <v>3.534275512188223E-2</v>
      </c>
      <c r="I126" s="560">
        <f>ROUND((H126*$I$111),5)</f>
        <v>6.6645799999999999</v>
      </c>
    </row>
    <row r="127" spans="1:9" x14ac:dyDescent="0.25">
      <c r="A127" s="554">
        <v>2</v>
      </c>
      <c r="B127" s="517" t="s">
        <v>479</v>
      </c>
      <c r="C127" s="518" t="s">
        <v>459</v>
      </c>
      <c r="D127" s="555">
        <v>90.9</v>
      </c>
      <c r="E127" s="556">
        <v>360</v>
      </c>
      <c r="F127" s="564">
        <f t="shared" ref="F127:F139" si="9">E127*$I$112</f>
        <v>2262.84</v>
      </c>
      <c r="G127" s="558">
        <v>0.3</v>
      </c>
      <c r="H127" s="565">
        <f t="shared" ref="H127:H139" si="10">(D127/F127)*G127</f>
        <v>1.2051227660815613E-2</v>
      </c>
      <c r="I127" s="560">
        <f t="shared" ref="I127:I138" si="11">ROUND((H127*$I$111),5)</f>
        <v>2.2725</v>
      </c>
    </row>
    <row r="128" spans="1:9" x14ac:dyDescent="0.25">
      <c r="A128" s="554">
        <v>3</v>
      </c>
      <c r="B128" s="517" t="s">
        <v>475</v>
      </c>
      <c r="C128" s="518" t="s">
        <v>459</v>
      </c>
      <c r="D128" s="555">
        <v>21.9</v>
      </c>
      <c r="E128" s="556">
        <v>360</v>
      </c>
      <c r="F128" s="564">
        <f t="shared" si="9"/>
        <v>2262.84</v>
      </c>
      <c r="G128" s="558">
        <v>0.8</v>
      </c>
      <c r="H128" s="565">
        <f t="shared" si="10"/>
        <v>7.7424828975977081E-3</v>
      </c>
      <c r="I128" s="560">
        <f t="shared" si="11"/>
        <v>1.46</v>
      </c>
    </row>
    <row r="129" spans="1:9" ht="25.5" x14ac:dyDescent="0.25">
      <c r="A129" s="554">
        <v>4</v>
      </c>
      <c r="B129" s="517" t="s">
        <v>480</v>
      </c>
      <c r="C129" s="518" t="s">
        <v>459</v>
      </c>
      <c r="D129" s="555">
        <v>57.9</v>
      </c>
      <c r="E129" s="556">
        <v>90</v>
      </c>
      <c r="F129" s="564">
        <f t="shared" si="9"/>
        <v>565.71</v>
      </c>
      <c r="G129" s="558">
        <v>0.7</v>
      </c>
      <c r="H129" s="565">
        <f t="shared" si="10"/>
        <v>7.1644482155167832E-2</v>
      </c>
      <c r="I129" s="560">
        <f t="shared" si="11"/>
        <v>13.51</v>
      </c>
    </row>
    <row r="130" spans="1:9" x14ac:dyDescent="0.25">
      <c r="A130" s="554">
        <v>5</v>
      </c>
      <c r="B130" s="517" t="s">
        <v>481</v>
      </c>
      <c r="C130" s="518" t="s">
        <v>459</v>
      </c>
      <c r="D130" s="555">
        <v>21.9</v>
      </c>
      <c r="E130" s="556">
        <v>180</v>
      </c>
      <c r="F130" s="564">
        <f t="shared" si="9"/>
        <v>1131.42</v>
      </c>
      <c r="G130" s="558">
        <v>0.5</v>
      </c>
      <c r="H130" s="565">
        <f t="shared" si="10"/>
        <v>9.6781036219971348E-3</v>
      </c>
      <c r="I130" s="560">
        <f t="shared" si="11"/>
        <v>1.825</v>
      </c>
    </row>
    <row r="131" spans="1:9" x14ac:dyDescent="0.25">
      <c r="A131" s="554">
        <v>6</v>
      </c>
      <c r="B131" s="517" t="s">
        <v>482</v>
      </c>
      <c r="C131" s="518" t="s">
        <v>459</v>
      </c>
      <c r="D131" s="555">
        <v>33.35</v>
      </c>
      <c r="E131" s="556">
        <v>90</v>
      </c>
      <c r="F131" s="564">
        <f t="shared" si="9"/>
        <v>565.71</v>
      </c>
      <c r="G131" s="558">
        <v>0.5</v>
      </c>
      <c r="H131" s="565">
        <f>(D131/F131)*G131</f>
        <v>2.9476233405808631E-2</v>
      </c>
      <c r="I131" s="560">
        <f t="shared" si="11"/>
        <v>5.5583299999999998</v>
      </c>
    </row>
    <row r="132" spans="1:9" x14ac:dyDescent="0.25">
      <c r="A132" s="554">
        <v>7</v>
      </c>
      <c r="B132" s="517" t="s">
        <v>483</v>
      </c>
      <c r="C132" s="518" t="s">
        <v>459</v>
      </c>
      <c r="D132" s="555">
        <v>63.2</v>
      </c>
      <c r="E132" s="556">
        <v>90</v>
      </c>
      <c r="F132" s="564">
        <f t="shared" si="9"/>
        <v>565.71</v>
      </c>
      <c r="G132" s="558">
        <v>0.3</v>
      </c>
      <c r="H132" s="565">
        <f t="shared" si="10"/>
        <v>3.3515405419738027E-2</v>
      </c>
      <c r="I132" s="560">
        <f t="shared" si="11"/>
        <v>6.32</v>
      </c>
    </row>
    <row r="133" spans="1:9" x14ac:dyDescent="0.25">
      <c r="A133" s="554">
        <v>8</v>
      </c>
      <c r="B133" s="517" t="s">
        <v>484</v>
      </c>
      <c r="C133" s="518" t="s">
        <v>67</v>
      </c>
      <c r="D133" s="555">
        <v>44.91</v>
      </c>
      <c r="E133" s="556">
        <v>180</v>
      </c>
      <c r="F133" s="564">
        <f t="shared" si="9"/>
        <v>1131.42</v>
      </c>
      <c r="G133" s="558">
        <v>0.2</v>
      </c>
      <c r="H133" s="565">
        <f t="shared" si="10"/>
        <v>7.9386965052765553E-3</v>
      </c>
      <c r="I133" s="560">
        <f t="shared" si="11"/>
        <v>1.4970000000000001</v>
      </c>
    </row>
    <row r="134" spans="1:9" x14ac:dyDescent="0.25">
      <c r="A134" s="554">
        <v>9</v>
      </c>
      <c r="B134" s="517" t="s">
        <v>485</v>
      </c>
      <c r="C134" s="518" t="s">
        <v>459</v>
      </c>
      <c r="D134" s="555">
        <v>137.9</v>
      </c>
      <c r="E134" s="556">
        <v>360</v>
      </c>
      <c r="F134" s="566">
        <f t="shared" si="9"/>
        <v>2262.84</v>
      </c>
      <c r="G134" s="558">
        <v>0.4</v>
      </c>
      <c r="H134" s="565">
        <f t="shared" si="10"/>
        <v>2.4376447296317903E-2</v>
      </c>
      <c r="I134" s="560">
        <f t="shared" si="11"/>
        <v>4.5966699999999996</v>
      </c>
    </row>
    <row r="135" spans="1:9" x14ac:dyDescent="0.25">
      <c r="A135" s="554">
        <v>10</v>
      </c>
      <c r="B135" s="517" t="s">
        <v>486</v>
      </c>
      <c r="C135" s="518" t="s">
        <v>459</v>
      </c>
      <c r="D135" s="555">
        <v>2.09</v>
      </c>
      <c r="E135" s="556">
        <v>2</v>
      </c>
      <c r="F135" s="566">
        <f t="shared" si="9"/>
        <v>12.571333333333333</v>
      </c>
      <c r="G135" s="558">
        <v>0.8</v>
      </c>
      <c r="H135" s="565">
        <f t="shared" si="10"/>
        <v>0.13300100758339078</v>
      </c>
      <c r="I135" s="560">
        <f t="shared" si="11"/>
        <v>25.08</v>
      </c>
    </row>
    <row r="136" spans="1:9" x14ac:dyDescent="0.25">
      <c r="A136" s="554">
        <v>11</v>
      </c>
      <c r="B136" s="517" t="s">
        <v>487</v>
      </c>
      <c r="C136" s="518" t="s">
        <v>67</v>
      </c>
      <c r="D136" s="555">
        <v>21.97</v>
      </c>
      <c r="E136" s="556">
        <v>30</v>
      </c>
      <c r="F136" s="566">
        <f t="shared" si="9"/>
        <v>188.57</v>
      </c>
      <c r="G136" s="558">
        <v>0.5</v>
      </c>
      <c r="H136" s="565">
        <f t="shared" si="10"/>
        <v>5.8254229198706049E-2</v>
      </c>
      <c r="I136" s="560">
        <f t="shared" si="11"/>
        <v>10.984999999999999</v>
      </c>
    </row>
    <row r="137" spans="1:9" x14ac:dyDescent="0.25">
      <c r="A137" s="554">
        <v>12</v>
      </c>
      <c r="B137" s="517" t="s">
        <v>488</v>
      </c>
      <c r="C137" s="518" t="s">
        <v>67</v>
      </c>
      <c r="D137" s="555">
        <v>59.84</v>
      </c>
      <c r="E137" s="556">
        <v>360</v>
      </c>
      <c r="F137" s="566">
        <f t="shared" si="9"/>
        <v>2262.84</v>
      </c>
      <c r="G137" s="558">
        <v>0.3</v>
      </c>
      <c r="H137" s="565">
        <f t="shared" si="10"/>
        <v>7.9333934347987477E-3</v>
      </c>
      <c r="I137" s="560">
        <f t="shared" si="11"/>
        <v>1.496</v>
      </c>
    </row>
    <row r="138" spans="1:9" x14ac:dyDescent="0.25">
      <c r="A138" s="554">
        <v>13</v>
      </c>
      <c r="B138" s="517" t="s">
        <v>489</v>
      </c>
      <c r="C138" s="518" t="s">
        <v>67</v>
      </c>
      <c r="D138" s="555">
        <v>35.36</v>
      </c>
      <c r="E138" s="556">
        <v>360</v>
      </c>
      <c r="F138" s="566">
        <f t="shared" si="9"/>
        <v>2262.84</v>
      </c>
      <c r="G138" s="558">
        <v>0.5</v>
      </c>
      <c r="H138" s="565">
        <f t="shared" si="10"/>
        <v>7.8131905039684636E-3</v>
      </c>
      <c r="I138" s="560">
        <f t="shared" si="11"/>
        <v>1.47333</v>
      </c>
    </row>
    <row r="139" spans="1:9" x14ac:dyDescent="0.25">
      <c r="A139" s="554">
        <v>14</v>
      </c>
      <c r="B139" s="517" t="s">
        <v>490</v>
      </c>
      <c r="C139" s="518" t="s">
        <v>459</v>
      </c>
      <c r="D139" s="555">
        <v>31.9</v>
      </c>
      <c r="E139" s="556">
        <v>180</v>
      </c>
      <c r="F139" s="564">
        <f t="shared" si="9"/>
        <v>1131.42</v>
      </c>
      <c r="G139" s="558">
        <v>0.4</v>
      </c>
      <c r="H139" s="565">
        <f t="shared" si="10"/>
        <v>1.1277863216135475E-2</v>
      </c>
      <c r="I139" s="560">
        <f>ROUND((H139*$I$111),5)</f>
        <v>2.1266699999999998</v>
      </c>
    </row>
    <row r="140" spans="1:9" x14ac:dyDescent="0.25">
      <c r="A140" s="539"/>
      <c r="B140" s="162"/>
      <c r="C140" s="503"/>
      <c r="D140" s="561"/>
      <c r="E140" s="562"/>
      <c r="F140" s="563"/>
      <c r="G140" s="562" t="s">
        <v>121</v>
      </c>
      <c r="H140" s="567">
        <f>SUM(H126:H139)</f>
        <v>0.4500455180216012</v>
      </c>
      <c r="I140" s="568">
        <f>TRUNC((SUM(I126:I139)),2)</f>
        <v>84.86</v>
      </c>
    </row>
    <row r="141" spans="1:9" x14ac:dyDescent="0.25">
      <c r="A141" s="535"/>
      <c r="B141" s="536"/>
      <c r="C141" s="537"/>
      <c r="D141" s="537"/>
      <c r="E141" s="537"/>
      <c r="F141" s="537"/>
      <c r="G141" s="537"/>
      <c r="H141" s="537"/>
      <c r="I141" s="538"/>
    </row>
    <row r="142" spans="1:9" x14ac:dyDescent="0.25">
      <c r="A142" s="760" t="s">
        <v>465</v>
      </c>
      <c r="B142" s="761"/>
      <c r="C142" s="761"/>
      <c r="D142" s="761"/>
      <c r="E142" s="761"/>
      <c r="F142" s="761"/>
      <c r="G142" s="761"/>
      <c r="H142" s="761"/>
      <c r="I142" s="762"/>
    </row>
    <row r="143" spans="1:9" ht="25.5" x14ac:dyDescent="0.25">
      <c r="A143" s="569" t="s">
        <v>6</v>
      </c>
      <c r="B143" s="570" t="s">
        <v>446</v>
      </c>
      <c r="C143" s="570" t="s">
        <v>8</v>
      </c>
      <c r="D143" s="570" t="s">
        <v>447</v>
      </c>
      <c r="E143" s="570" t="s">
        <v>448</v>
      </c>
      <c r="F143" s="570" t="s">
        <v>449</v>
      </c>
      <c r="G143" s="570" t="s">
        <v>450</v>
      </c>
      <c r="H143" s="570" t="s">
        <v>451</v>
      </c>
      <c r="I143" s="571" t="s">
        <v>452</v>
      </c>
    </row>
    <row r="144" spans="1:9" x14ac:dyDescent="0.25">
      <c r="A144" s="554">
        <v>1</v>
      </c>
      <c r="B144" s="517" t="s">
        <v>475</v>
      </c>
      <c r="C144" s="518" t="s">
        <v>459</v>
      </c>
      <c r="D144" s="555">
        <v>21.9</v>
      </c>
      <c r="E144" s="556">
        <v>360</v>
      </c>
      <c r="F144" s="564">
        <f>E144*$I$112</f>
        <v>2262.84</v>
      </c>
      <c r="G144" s="558">
        <v>0.8</v>
      </c>
      <c r="H144" s="565">
        <f>(D144/F144)*G144</f>
        <v>7.7424828975977081E-3</v>
      </c>
      <c r="I144" s="560">
        <f t="shared" ref="I144:I150" si="12">ROUND((H144*$I$111),5)</f>
        <v>1.46</v>
      </c>
    </row>
    <row r="145" spans="1:9" x14ac:dyDescent="0.25">
      <c r="A145" s="554">
        <v>2</v>
      </c>
      <c r="B145" s="517" t="s">
        <v>491</v>
      </c>
      <c r="C145" s="518" t="s">
        <v>459</v>
      </c>
      <c r="D145" s="555">
        <v>21.9</v>
      </c>
      <c r="E145" s="556">
        <v>180</v>
      </c>
      <c r="F145" s="564">
        <f t="shared" ref="F145:F149" si="13">E145*$I$112</f>
        <v>1131.42</v>
      </c>
      <c r="G145" s="558">
        <v>0.2</v>
      </c>
      <c r="H145" s="565">
        <f t="shared" ref="H145:H149" si="14">(D145/F145)*G145</f>
        <v>3.8712414487988541E-3</v>
      </c>
      <c r="I145" s="560">
        <f t="shared" si="12"/>
        <v>0.73</v>
      </c>
    </row>
    <row r="146" spans="1:9" x14ac:dyDescent="0.25">
      <c r="A146" s="554">
        <v>3</v>
      </c>
      <c r="B146" s="517" t="s">
        <v>482</v>
      </c>
      <c r="C146" s="518" t="s">
        <v>459</v>
      </c>
      <c r="D146" s="555">
        <v>33.35</v>
      </c>
      <c r="E146" s="556">
        <v>90</v>
      </c>
      <c r="F146" s="564">
        <f t="shared" si="13"/>
        <v>565.71</v>
      </c>
      <c r="G146" s="558">
        <v>0.2</v>
      </c>
      <c r="H146" s="565">
        <f t="shared" si="14"/>
        <v>1.1790493362323453E-2</v>
      </c>
      <c r="I146" s="560">
        <f t="shared" si="12"/>
        <v>2.2233299999999998</v>
      </c>
    </row>
    <row r="147" spans="1:9" x14ac:dyDescent="0.25">
      <c r="A147" s="554">
        <v>4</v>
      </c>
      <c r="B147" s="517" t="s">
        <v>492</v>
      </c>
      <c r="C147" s="518" t="s">
        <v>67</v>
      </c>
      <c r="D147" s="555">
        <v>51</v>
      </c>
      <c r="E147" s="556">
        <v>360</v>
      </c>
      <c r="F147" s="564">
        <f t="shared" si="13"/>
        <v>2262.84</v>
      </c>
      <c r="G147" s="558">
        <v>0.3</v>
      </c>
      <c r="H147" s="565">
        <f t="shared" si="14"/>
        <v>6.7614148592034786E-3</v>
      </c>
      <c r="I147" s="560">
        <f t="shared" si="12"/>
        <v>1.2749999999999999</v>
      </c>
    </row>
    <row r="148" spans="1:9" x14ac:dyDescent="0.25">
      <c r="A148" s="554">
        <v>5</v>
      </c>
      <c r="B148" s="517" t="s">
        <v>493</v>
      </c>
      <c r="C148" s="518" t="s">
        <v>67</v>
      </c>
      <c r="D148" s="555">
        <v>44.73</v>
      </c>
      <c r="E148" s="556">
        <v>360</v>
      </c>
      <c r="F148" s="564">
        <f t="shared" si="13"/>
        <v>2262.84</v>
      </c>
      <c r="G148" s="558">
        <v>0.3</v>
      </c>
      <c r="H148" s="565">
        <f t="shared" si="14"/>
        <v>5.9301585618072852E-3</v>
      </c>
      <c r="I148" s="560">
        <f t="shared" si="12"/>
        <v>1.11825</v>
      </c>
    </row>
    <row r="149" spans="1:9" x14ac:dyDescent="0.25">
      <c r="A149" s="554">
        <v>6</v>
      </c>
      <c r="B149" s="517" t="s">
        <v>489</v>
      </c>
      <c r="C149" s="518" t="s">
        <v>67</v>
      </c>
      <c r="D149" s="555">
        <v>35.36</v>
      </c>
      <c r="E149" s="556">
        <v>360</v>
      </c>
      <c r="F149" s="564">
        <f t="shared" si="13"/>
        <v>2262.84</v>
      </c>
      <c r="G149" s="558">
        <v>0.2</v>
      </c>
      <c r="H149" s="565">
        <f t="shared" si="14"/>
        <v>3.1252762015873854E-3</v>
      </c>
      <c r="I149" s="560">
        <f t="shared" si="12"/>
        <v>0.58933000000000002</v>
      </c>
    </row>
    <row r="150" spans="1:9" x14ac:dyDescent="0.25">
      <c r="A150" s="554">
        <v>7</v>
      </c>
      <c r="B150" s="517" t="s">
        <v>486</v>
      </c>
      <c r="C150" s="518" t="s">
        <v>459</v>
      </c>
      <c r="D150" s="555">
        <v>2.09</v>
      </c>
      <c r="E150" s="556">
        <v>2</v>
      </c>
      <c r="F150" s="566">
        <f>E150*$I$112</f>
        <v>12.571333333333333</v>
      </c>
      <c r="G150" s="558">
        <v>0.3</v>
      </c>
      <c r="H150" s="565">
        <f>(D150/F150)*G150</f>
        <v>4.9875377843771537E-2</v>
      </c>
      <c r="I150" s="560">
        <f t="shared" si="12"/>
        <v>9.4049999999999994</v>
      </c>
    </row>
    <row r="151" spans="1:9" x14ac:dyDescent="0.25">
      <c r="A151" s="539"/>
      <c r="B151" s="540"/>
      <c r="C151" s="503"/>
      <c r="D151" s="561"/>
      <c r="E151" s="562"/>
      <c r="F151" s="563"/>
      <c r="G151" s="562" t="s">
        <v>121</v>
      </c>
      <c r="H151" s="567">
        <f>SUM(H144:H150)</f>
        <v>8.9096445175089703E-2</v>
      </c>
      <c r="I151" s="505">
        <f>TRUNC((SUM(I144:I150)),2)</f>
        <v>16.8</v>
      </c>
    </row>
    <row r="152" spans="1:9" x14ac:dyDescent="0.25">
      <c r="A152" s="535"/>
      <c r="B152" s="536"/>
      <c r="C152" s="537"/>
      <c r="D152" s="537"/>
      <c r="E152" s="537"/>
      <c r="F152" s="537"/>
      <c r="G152" s="537"/>
      <c r="H152" s="537"/>
      <c r="I152" s="538"/>
    </row>
    <row r="153" spans="1:9" x14ac:dyDescent="0.25">
      <c r="A153" s="760" t="s">
        <v>466</v>
      </c>
      <c r="B153" s="761"/>
      <c r="C153" s="761"/>
      <c r="D153" s="761"/>
      <c r="E153" s="761"/>
      <c r="F153" s="761"/>
      <c r="G153" s="761"/>
      <c r="H153" s="761"/>
      <c r="I153" s="762"/>
    </row>
    <row r="154" spans="1:9" ht="25.5" x14ac:dyDescent="0.25">
      <c r="A154" s="551" t="s">
        <v>6</v>
      </c>
      <c r="B154" s="552" t="s">
        <v>446</v>
      </c>
      <c r="C154" s="552" t="s">
        <v>8</v>
      </c>
      <c r="D154" s="552" t="s">
        <v>447</v>
      </c>
      <c r="E154" s="552" t="s">
        <v>448</v>
      </c>
      <c r="F154" s="552" t="s">
        <v>449</v>
      </c>
      <c r="G154" s="552" t="s">
        <v>450</v>
      </c>
      <c r="H154" s="552" t="s">
        <v>451</v>
      </c>
      <c r="I154" s="553" t="s">
        <v>452</v>
      </c>
    </row>
    <row r="155" spans="1:9" x14ac:dyDescent="0.25">
      <c r="A155" s="554">
        <v>1</v>
      </c>
      <c r="B155" s="517" t="s">
        <v>494</v>
      </c>
      <c r="C155" s="518" t="s">
        <v>459</v>
      </c>
      <c r="D155" s="555">
        <v>28.15</v>
      </c>
      <c r="E155" s="556">
        <v>90</v>
      </c>
      <c r="F155" s="564">
        <f>E155*$I$112</f>
        <v>565.71</v>
      </c>
      <c r="G155" s="558">
        <v>0.5</v>
      </c>
      <c r="H155" s="565">
        <f>(D155/F155)*G155</f>
        <v>2.4880238991709529E-2</v>
      </c>
      <c r="I155" s="560">
        <f>ROUND((H155*$I$111),5)</f>
        <v>4.6916700000000002</v>
      </c>
    </row>
    <row r="156" spans="1:9" x14ac:dyDescent="0.25">
      <c r="A156" s="554">
        <v>2</v>
      </c>
      <c r="B156" s="517" t="s">
        <v>495</v>
      </c>
      <c r="C156" s="518" t="s">
        <v>67</v>
      </c>
      <c r="D156" s="555">
        <v>22.27</v>
      </c>
      <c r="E156" s="556">
        <v>90</v>
      </c>
      <c r="F156" s="564">
        <f t="shared" ref="F156:F176" si="15">E156*$I$112</f>
        <v>565.71</v>
      </c>
      <c r="G156" s="558">
        <v>0.2</v>
      </c>
      <c r="H156" s="565">
        <f>(D156/F156)*G156</f>
        <v>7.8732919693836056E-3</v>
      </c>
      <c r="I156" s="560">
        <f t="shared" ref="I156:I176" si="16">ROUND((H156*$I$111),5)</f>
        <v>1.4846699999999999</v>
      </c>
    </row>
    <row r="157" spans="1:9" x14ac:dyDescent="0.25">
      <c r="A157" s="554">
        <v>3</v>
      </c>
      <c r="B157" s="517" t="s">
        <v>496</v>
      </c>
      <c r="C157" s="518" t="s">
        <v>67</v>
      </c>
      <c r="D157" s="555">
        <v>22.27</v>
      </c>
      <c r="E157" s="556">
        <v>90</v>
      </c>
      <c r="F157" s="564">
        <f t="shared" si="15"/>
        <v>565.71</v>
      </c>
      <c r="G157" s="558">
        <v>0.2</v>
      </c>
      <c r="H157" s="565">
        <f t="shared" ref="H157:H176" si="17">(D157/F157)*G157</f>
        <v>7.8732919693836056E-3</v>
      </c>
      <c r="I157" s="560">
        <f t="shared" si="16"/>
        <v>1.4846699999999999</v>
      </c>
    </row>
    <row r="158" spans="1:9" x14ac:dyDescent="0.25">
      <c r="A158" s="554">
        <v>4</v>
      </c>
      <c r="B158" s="517" t="s">
        <v>497</v>
      </c>
      <c r="C158" s="518" t="s">
        <v>459</v>
      </c>
      <c r="D158" s="555">
        <v>22.63</v>
      </c>
      <c r="E158" s="556">
        <v>30</v>
      </c>
      <c r="F158" s="564">
        <f t="shared" si="15"/>
        <v>188.57</v>
      </c>
      <c r="G158" s="558">
        <v>0.1</v>
      </c>
      <c r="H158" s="565">
        <f t="shared" si="17"/>
        <v>1.200084849127645E-2</v>
      </c>
      <c r="I158" s="560">
        <f t="shared" si="16"/>
        <v>2.2629999999999999</v>
      </c>
    </row>
    <row r="159" spans="1:9" x14ac:dyDescent="0.25">
      <c r="A159" s="554">
        <v>5</v>
      </c>
      <c r="B159" s="517" t="s">
        <v>475</v>
      </c>
      <c r="C159" s="518" t="s">
        <v>459</v>
      </c>
      <c r="D159" s="555">
        <v>21.9</v>
      </c>
      <c r="E159" s="556">
        <v>360</v>
      </c>
      <c r="F159" s="564">
        <f t="shared" si="15"/>
        <v>2262.84</v>
      </c>
      <c r="G159" s="558">
        <v>0.5</v>
      </c>
      <c r="H159" s="565">
        <f t="shared" si="17"/>
        <v>4.8390518109985674E-3</v>
      </c>
      <c r="I159" s="560">
        <f t="shared" si="16"/>
        <v>0.91249999999999998</v>
      </c>
    </row>
    <row r="160" spans="1:9" x14ac:dyDescent="0.25">
      <c r="A160" s="554">
        <v>6</v>
      </c>
      <c r="B160" s="517" t="s">
        <v>482</v>
      </c>
      <c r="C160" s="518" t="s">
        <v>459</v>
      </c>
      <c r="D160" s="555">
        <v>33.35</v>
      </c>
      <c r="E160" s="556">
        <v>90</v>
      </c>
      <c r="F160" s="564">
        <f t="shared" si="15"/>
        <v>565.71</v>
      </c>
      <c r="G160" s="558">
        <v>0.8</v>
      </c>
      <c r="H160" s="565">
        <f t="shared" si="17"/>
        <v>4.7161973449293813E-2</v>
      </c>
      <c r="I160" s="560">
        <f t="shared" si="16"/>
        <v>8.8933300000000006</v>
      </c>
    </row>
    <row r="161" spans="1:9" x14ac:dyDescent="0.25">
      <c r="A161" s="554">
        <v>7</v>
      </c>
      <c r="B161" s="517" t="s">
        <v>498</v>
      </c>
      <c r="C161" s="518" t="s">
        <v>67</v>
      </c>
      <c r="D161" s="555">
        <v>59.84</v>
      </c>
      <c r="E161" s="556">
        <v>360</v>
      </c>
      <c r="F161" s="564">
        <f t="shared" si="15"/>
        <v>2262.84</v>
      </c>
      <c r="G161" s="558">
        <v>0.4</v>
      </c>
      <c r="H161" s="565">
        <f t="shared" si="17"/>
        <v>1.0577857913064998E-2</v>
      </c>
      <c r="I161" s="560">
        <f t="shared" si="16"/>
        <v>1.9946699999999999</v>
      </c>
    </row>
    <row r="162" spans="1:9" x14ac:dyDescent="0.25">
      <c r="A162" s="554">
        <v>8</v>
      </c>
      <c r="B162" s="517" t="s">
        <v>499</v>
      </c>
      <c r="C162" s="518" t="s">
        <v>67</v>
      </c>
      <c r="D162" s="555">
        <v>35.36</v>
      </c>
      <c r="E162" s="556">
        <v>360</v>
      </c>
      <c r="F162" s="564">
        <f t="shared" si="15"/>
        <v>2262.84</v>
      </c>
      <c r="G162" s="558">
        <v>0.3</v>
      </c>
      <c r="H162" s="565">
        <f t="shared" si="17"/>
        <v>4.6879143023810781E-3</v>
      </c>
      <c r="I162" s="560">
        <f t="shared" si="16"/>
        <v>0.88400000000000001</v>
      </c>
    </row>
    <row r="163" spans="1:9" x14ac:dyDescent="0.25">
      <c r="A163" s="554">
        <v>9</v>
      </c>
      <c r="B163" s="517" t="s">
        <v>500</v>
      </c>
      <c r="C163" s="518" t="s">
        <v>67</v>
      </c>
      <c r="D163" s="555">
        <v>1.89</v>
      </c>
      <c r="E163" s="556">
        <v>90</v>
      </c>
      <c r="F163" s="564">
        <f t="shared" si="15"/>
        <v>565.71</v>
      </c>
      <c r="G163" s="558">
        <v>0.3</v>
      </c>
      <c r="H163" s="565">
        <f t="shared" si="17"/>
        <v>1.0022803203054566E-3</v>
      </c>
      <c r="I163" s="560">
        <f t="shared" si="16"/>
        <v>0.189</v>
      </c>
    </row>
    <row r="164" spans="1:9" x14ac:dyDescent="0.25">
      <c r="A164" s="554">
        <v>10</v>
      </c>
      <c r="B164" s="517" t="s">
        <v>492</v>
      </c>
      <c r="C164" s="518" t="s">
        <v>67</v>
      </c>
      <c r="D164" s="555">
        <v>51</v>
      </c>
      <c r="E164" s="556">
        <v>360</v>
      </c>
      <c r="F164" s="564">
        <f t="shared" si="15"/>
        <v>2262.84</v>
      </c>
      <c r="G164" s="558">
        <v>0.3</v>
      </c>
      <c r="H164" s="565">
        <f t="shared" si="17"/>
        <v>6.7614148592034786E-3</v>
      </c>
      <c r="I164" s="560">
        <f t="shared" si="16"/>
        <v>1.2749999999999999</v>
      </c>
    </row>
    <row r="165" spans="1:9" x14ac:dyDescent="0.25">
      <c r="A165" s="554">
        <v>11</v>
      </c>
      <c r="B165" s="517" t="s">
        <v>493</v>
      </c>
      <c r="C165" s="518" t="s">
        <v>67</v>
      </c>
      <c r="D165" s="555">
        <v>44.73</v>
      </c>
      <c r="E165" s="556">
        <v>360</v>
      </c>
      <c r="F165" s="566">
        <f t="shared" si="15"/>
        <v>2262.84</v>
      </c>
      <c r="G165" s="558">
        <v>0.3</v>
      </c>
      <c r="H165" s="565">
        <f t="shared" si="17"/>
        <v>5.9301585618072852E-3</v>
      </c>
      <c r="I165" s="560">
        <f t="shared" si="16"/>
        <v>1.11825</v>
      </c>
    </row>
    <row r="166" spans="1:9" x14ac:dyDescent="0.25">
      <c r="A166" s="554">
        <v>12</v>
      </c>
      <c r="B166" s="517" t="s">
        <v>501</v>
      </c>
      <c r="C166" s="518" t="s">
        <v>67</v>
      </c>
      <c r="D166" s="555">
        <v>12.62</v>
      </c>
      <c r="E166" s="556">
        <v>7</v>
      </c>
      <c r="F166" s="566">
        <f>E166*$I$112</f>
        <v>43.99966666666667</v>
      </c>
      <c r="G166" s="558">
        <v>0.3</v>
      </c>
      <c r="H166" s="565">
        <f t="shared" si="17"/>
        <v>8.604610640989703E-2</v>
      </c>
      <c r="I166" s="560">
        <f t="shared" si="16"/>
        <v>16.225709999999999</v>
      </c>
    </row>
    <row r="167" spans="1:9" x14ac:dyDescent="0.25">
      <c r="A167" s="554">
        <v>13</v>
      </c>
      <c r="B167" s="517" t="s">
        <v>502</v>
      </c>
      <c r="C167" s="518" t="s">
        <v>459</v>
      </c>
      <c r="D167" s="555">
        <v>7.41</v>
      </c>
      <c r="E167" s="556">
        <v>2</v>
      </c>
      <c r="F167" s="566">
        <f t="shared" si="15"/>
        <v>12.571333333333333</v>
      </c>
      <c r="G167" s="558">
        <v>0.3</v>
      </c>
      <c r="H167" s="565">
        <f t="shared" si="17"/>
        <v>0.17683088508246275</v>
      </c>
      <c r="I167" s="560">
        <f t="shared" si="16"/>
        <v>33.344999999999999</v>
      </c>
    </row>
    <row r="168" spans="1:9" x14ac:dyDescent="0.25">
      <c r="A168" s="554">
        <v>14</v>
      </c>
      <c r="B168" s="517" t="s">
        <v>503</v>
      </c>
      <c r="C168" s="518" t="s">
        <v>459</v>
      </c>
      <c r="D168" s="555">
        <v>5.95</v>
      </c>
      <c r="E168" s="556">
        <v>7</v>
      </c>
      <c r="F168" s="566">
        <f t="shared" si="15"/>
        <v>43.99966666666667</v>
      </c>
      <c r="G168" s="558">
        <v>0.3</v>
      </c>
      <c r="H168" s="565">
        <f t="shared" si="17"/>
        <v>4.056848915522087E-2</v>
      </c>
      <c r="I168" s="560">
        <f t="shared" si="16"/>
        <v>7.65</v>
      </c>
    </row>
    <row r="169" spans="1:9" x14ac:dyDescent="0.25">
      <c r="A169" s="554">
        <v>15</v>
      </c>
      <c r="B169" s="517" t="s">
        <v>504</v>
      </c>
      <c r="C169" s="518" t="s">
        <v>459</v>
      </c>
      <c r="D169" s="555">
        <v>28.75</v>
      </c>
      <c r="E169" s="556">
        <v>30</v>
      </c>
      <c r="F169" s="566">
        <f t="shared" si="15"/>
        <v>188.57</v>
      </c>
      <c r="G169" s="558">
        <v>0.15</v>
      </c>
      <c r="H169" s="565">
        <f t="shared" si="17"/>
        <v>2.2869491435541178E-2</v>
      </c>
      <c r="I169" s="560">
        <f t="shared" si="16"/>
        <v>4.3125</v>
      </c>
    </row>
    <row r="170" spans="1:9" x14ac:dyDescent="0.25">
      <c r="A170" s="554">
        <v>16</v>
      </c>
      <c r="B170" s="517" t="s">
        <v>505</v>
      </c>
      <c r="C170" s="518" t="s">
        <v>459</v>
      </c>
      <c r="D170" s="555">
        <v>23.47</v>
      </c>
      <c r="E170" s="556">
        <v>30</v>
      </c>
      <c r="F170" s="566">
        <f t="shared" si="15"/>
        <v>188.57</v>
      </c>
      <c r="G170" s="558">
        <v>0.15</v>
      </c>
      <c r="H170" s="565">
        <f t="shared" si="17"/>
        <v>1.8669459617118311E-2</v>
      </c>
      <c r="I170" s="560">
        <f t="shared" si="16"/>
        <v>3.5205000000000002</v>
      </c>
    </row>
    <row r="171" spans="1:9" x14ac:dyDescent="0.25">
      <c r="A171" s="554">
        <v>17</v>
      </c>
      <c r="B171" s="517" t="s">
        <v>506</v>
      </c>
      <c r="C171" s="518" t="s">
        <v>459</v>
      </c>
      <c r="D171" s="555">
        <v>29.28</v>
      </c>
      <c r="E171" s="556">
        <v>90</v>
      </c>
      <c r="F171" s="566">
        <f t="shared" si="15"/>
        <v>565.71</v>
      </c>
      <c r="G171" s="558">
        <v>0.3</v>
      </c>
      <c r="H171" s="565">
        <f t="shared" si="17"/>
        <v>1.552739035901787E-2</v>
      </c>
      <c r="I171" s="560">
        <f t="shared" si="16"/>
        <v>2.9279999999999999</v>
      </c>
    </row>
    <row r="172" spans="1:9" ht="25.5" x14ac:dyDescent="0.25">
      <c r="A172" s="554">
        <v>18</v>
      </c>
      <c r="B172" s="517" t="s">
        <v>480</v>
      </c>
      <c r="C172" s="518" t="s">
        <v>459</v>
      </c>
      <c r="D172" s="555">
        <v>57.9</v>
      </c>
      <c r="E172" s="556">
        <v>90</v>
      </c>
      <c r="F172" s="566">
        <f t="shared" si="15"/>
        <v>565.71</v>
      </c>
      <c r="G172" s="558">
        <v>0.3</v>
      </c>
      <c r="H172" s="565">
        <f t="shared" si="17"/>
        <v>3.0704778066500498E-2</v>
      </c>
      <c r="I172" s="560">
        <f t="shared" si="16"/>
        <v>5.79</v>
      </c>
    </row>
    <row r="173" spans="1:9" x14ac:dyDescent="0.25">
      <c r="A173" s="554">
        <v>19</v>
      </c>
      <c r="B173" s="517" t="s">
        <v>507</v>
      </c>
      <c r="C173" s="518" t="s">
        <v>459</v>
      </c>
      <c r="D173" s="555">
        <v>21.9</v>
      </c>
      <c r="E173" s="556">
        <v>180</v>
      </c>
      <c r="F173" s="566">
        <f t="shared" si="15"/>
        <v>1131.42</v>
      </c>
      <c r="G173" s="558">
        <v>0.2</v>
      </c>
      <c r="H173" s="565">
        <f t="shared" si="17"/>
        <v>3.8712414487988541E-3</v>
      </c>
      <c r="I173" s="560">
        <f t="shared" si="16"/>
        <v>0.73</v>
      </c>
    </row>
    <row r="174" spans="1:9" x14ac:dyDescent="0.25">
      <c r="A174" s="554">
        <v>20</v>
      </c>
      <c r="B174" s="517" t="s">
        <v>486</v>
      </c>
      <c r="C174" s="518" t="s">
        <v>459</v>
      </c>
      <c r="D174" s="555">
        <v>2.09</v>
      </c>
      <c r="E174" s="556">
        <v>2</v>
      </c>
      <c r="F174" s="566">
        <f t="shared" si="15"/>
        <v>12.571333333333333</v>
      </c>
      <c r="G174" s="558">
        <v>0.2</v>
      </c>
      <c r="H174" s="565">
        <f t="shared" si="17"/>
        <v>3.3250251895847696E-2</v>
      </c>
      <c r="I174" s="560">
        <f t="shared" si="16"/>
        <v>6.27</v>
      </c>
    </row>
    <row r="175" spans="1:9" x14ac:dyDescent="0.25">
      <c r="A175" s="554">
        <v>21</v>
      </c>
      <c r="B175" s="517" t="s">
        <v>508</v>
      </c>
      <c r="C175" s="518" t="s">
        <v>67</v>
      </c>
      <c r="D175" s="555">
        <v>222.49</v>
      </c>
      <c r="E175" s="556">
        <v>180</v>
      </c>
      <c r="F175" s="564">
        <f t="shared" si="15"/>
        <v>1131.42</v>
      </c>
      <c r="G175" s="558">
        <v>1</v>
      </c>
      <c r="H175" s="565">
        <f t="shared" si="17"/>
        <v>0.19664669176786692</v>
      </c>
      <c r="I175" s="560">
        <f t="shared" si="16"/>
        <v>37.081670000000003</v>
      </c>
    </row>
    <row r="176" spans="1:9" x14ac:dyDescent="0.25">
      <c r="A176" s="554">
        <v>22</v>
      </c>
      <c r="B176" s="517" t="s">
        <v>509</v>
      </c>
      <c r="C176" s="518" t="s">
        <v>459</v>
      </c>
      <c r="D176" s="555">
        <v>13.9</v>
      </c>
      <c r="E176" s="556">
        <v>30</v>
      </c>
      <c r="F176" s="564">
        <f t="shared" si="15"/>
        <v>188.57</v>
      </c>
      <c r="G176" s="558">
        <v>1</v>
      </c>
      <c r="H176" s="565">
        <f t="shared" si="17"/>
        <v>7.3712679641512444E-2</v>
      </c>
      <c r="I176" s="560">
        <f t="shared" si="16"/>
        <v>13.9</v>
      </c>
    </row>
    <row r="177" spans="1:9" x14ac:dyDescent="0.25">
      <c r="A177" s="539"/>
      <c r="B177" s="162"/>
      <c r="C177" s="503"/>
      <c r="D177" s="561"/>
      <c r="E177" s="562"/>
      <c r="F177" s="563"/>
      <c r="G177" s="562" t="s">
        <v>121</v>
      </c>
      <c r="H177" s="567">
        <f>SUM(H155:H176)</f>
        <v>0.83228578751859228</v>
      </c>
      <c r="I177" s="505">
        <f>TRUNC((SUM(I155:I176)),2)</f>
        <v>156.94</v>
      </c>
    </row>
    <row r="178" spans="1:9" x14ac:dyDescent="0.25">
      <c r="A178" s="535"/>
      <c r="B178" s="536"/>
      <c r="C178" s="537"/>
      <c r="D178" s="537"/>
      <c r="E178" s="537"/>
      <c r="F178" s="537"/>
      <c r="G178" s="537"/>
      <c r="H178" s="537"/>
      <c r="I178" s="538"/>
    </row>
    <row r="179" spans="1:9" x14ac:dyDescent="0.25">
      <c r="A179" s="760" t="s">
        <v>510</v>
      </c>
      <c r="B179" s="761"/>
      <c r="C179" s="761"/>
      <c r="D179" s="761"/>
      <c r="E179" s="761"/>
      <c r="F179" s="761"/>
      <c r="G179" s="761"/>
      <c r="H179" s="761"/>
      <c r="I179" s="762"/>
    </row>
    <row r="180" spans="1:9" ht="25.5" x14ac:dyDescent="0.25">
      <c r="A180" s="551" t="s">
        <v>6</v>
      </c>
      <c r="B180" s="552" t="s">
        <v>446</v>
      </c>
      <c r="C180" s="552" t="s">
        <v>8</v>
      </c>
      <c r="D180" s="552" t="s">
        <v>447</v>
      </c>
      <c r="E180" s="552" t="s">
        <v>448</v>
      </c>
      <c r="F180" s="552" t="s">
        <v>449</v>
      </c>
      <c r="G180" s="552" t="s">
        <v>450</v>
      </c>
      <c r="H180" s="552" t="s">
        <v>451</v>
      </c>
      <c r="I180" s="553" t="s">
        <v>452</v>
      </c>
    </row>
    <row r="181" spans="1:9" x14ac:dyDescent="0.25">
      <c r="A181" s="554">
        <v>1</v>
      </c>
      <c r="B181" s="517" t="s">
        <v>504</v>
      </c>
      <c r="C181" s="518" t="s">
        <v>459</v>
      </c>
      <c r="D181" s="555">
        <v>28.75</v>
      </c>
      <c r="E181" s="556">
        <v>30</v>
      </c>
      <c r="F181" s="564">
        <f>E181*$I$112</f>
        <v>188.57</v>
      </c>
      <c r="G181" s="558">
        <v>0.3</v>
      </c>
      <c r="H181" s="565">
        <f>(D181/F181)*G181</f>
        <v>4.5738982871082356E-2</v>
      </c>
      <c r="I181" s="560">
        <f>ROUND((H181*$I$111),5)</f>
        <v>8.625</v>
      </c>
    </row>
    <row r="182" spans="1:9" x14ac:dyDescent="0.25">
      <c r="A182" s="554">
        <v>2</v>
      </c>
      <c r="B182" s="517" t="s">
        <v>505</v>
      </c>
      <c r="C182" s="518" t="s">
        <v>459</v>
      </c>
      <c r="D182" s="555">
        <v>23.47</v>
      </c>
      <c r="E182" s="556">
        <v>30</v>
      </c>
      <c r="F182" s="564">
        <f t="shared" ref="F182:F192" si="18">E182*$I$112</f>
        <v>188.57</v>
      </c>
      <c r="G182" s="558">
        <v>0.3</v>
      </c>
      <c r="H182" s="565">
        <f t="shared" ref="H182:H187" si="19">(D182/F182)*G182</f>
        <v>3.7338919234236621E-2</v>
      </c>
      <c r="I182" s="560">
        <f t="shared" ref="I182:I192" si="20">ROUND((H182*$I$111),5)</f>
        <v>7.0410000000000004</v>
      </c>
    </row>
    <row r="183" spans="1:9" x14ac:dyDescent="0.25">
      <c r="A183" s="554">
        <v>3</v>
      </c>
      <c r="B183" s="517" t="s">
        <v>506</v>
      </c>
      <c r="C183" s="518" t="s">
        <v>459</v>
      </c>
      <c r="D183" s="555">
        <v>29.28</v>
      </c>
      <c r="E183" s="556">
        <v>90</v>
      </c>
      <c r="F183" s="564">
        <f t="shared" si="18"/>
        <v>565.71</v>
      </c>
      <c r="G183" s="558">
        <v>0.3</v>
      </c>
      <c r="H183" s="565">
        <f t="shared" si="19"/>
        <v>1.552739035901787E-2</v>
      </c>
      <c r="I183" s="560">
        <f t="shared" si="20"/>
        <v>2.9279999999999999</v>
      </c>
    </row>
    <row r="184" spans="1:9" ht="25.5" x14ac:dyDescent="0.25">
      <c r="A184" s="554">
        <v>4</v>
      </c>
      <c r="B184" s="517" t="s">
        <v>511</v>
      </c>
      <c r="C184" s="518" t="s">
        <v>459</v>
      </c>
      <c r="D184" s="555">
        <v>39.9</v>
      </c>
      <c r="E184" s="556">
        <v>120</v>
      </c>
      <c r="F184" s="564">
        <f t="shared" si="18"/>
        <v>754.28</v>
      </c>
      <c r="G184" s="558">
        <v>0.8</v>
      </c>
      <c r="H184" s="565">
        <f t="shared" si="19"/>
        <v>4.2318502412897072E-2</v>
      </c>
      <c r="I184" s="560">
        <f t="shared" si="20"/>
        <v>7.98</v>
      </c>
    </row>
    <row r="185" spans="1:9" x14ac:dyDescent="0.25">
      <c r="A185" s="554">
        <v>5</v>
      </c>
      <c r="B185" s="517" t="s">
        <v>508</v>
      </c>
      <c r="C185" s="518" t="s">
        <v>67</v>
      </c>
      <c r="D185" s="555">
        <v>222.49</v>
      </c>
      <c r="E185" s="556">
        <v>180</v>
      </c>
      <c r="F185" s="564">
        <f t="shared" si="18"/>
        <v>1131.42</v>
      </c>
      <c r="G185" s="558">
        <v>0.4</v>
      </c>
      <c r="H185" s="565">
        <f t="shared" si="19"/>
        <v>7.8658676707146769E-2</v>
      </c>
      <c r="I185" s="560">
        <f t="shared" si="20"/>
        <v>14.83267</v>
      </c>
    </row>
    <row r="186" spans="1:9" ht="25.5" x14ac:dyDescent="0.25">
      <c r="A186" s="554">
        <v>6</v>
      </c>
      <c r="B186" s="517" t="s">
        <v>512</v>
      </c>
      <c r="C186" s="518" t="s">
        <v>459</v>
      </c>
      <c r="D186" s="555">
        <v>1406.29</v>
      </c>
      <c r="E186" s="556">
        <v>360</v>
      </c>
      <c r="F186" s="564">
        <f t="shared" si="18"/>
        <v>2262.84</v>
      </c>
      <c r="G186" s="558">
        <v>0.4</v>
      </c>
      <c r="H186" s="565">
        <f t="shared" si="19"/>
        <v>0.24858849940782379</v>
      </c>
      <c r="I186" s="560">
        <f t="shared" si="20"/>
        <v>46.876330000000003</v>
      </c>
    </row>
    <row r="187" spans="1:9" x14ac:dyDescent="0.25">
      <c r="A187" s="554">
        <v>7</v>
      </c>
      <c r="B187" s="517" t="s">
        <v>509</v>
      </c>
      <c r="C187" s="518" t="s">
        <v>459</v>
      </c>
      <c r="D187" s="555">
        <v>13.9</v>
      </c>
      <c r="E187" s="556">
        <v>30</v>
      </c>
      <c r="F187" s="564">
        <f t="shared" si="18"/>
        <v>188.57</v>
      </c>
      <c r="G187" s="558">
        <v>1</v>
      </c>
      <c r="H187" s="565">
        <f t="shared" si="19"/>
        <v>7.3712679641512444E-2</v>
      </c>
      <c r="I187" s="560">
        <f t="shared" si="20"/>
        <v>13.9</v>
      </c>
    </row>
    <row r="188" spans="1:9" x14ac:dyDescent="0.25">
      <c r="A188" s="554">
        <v>8</v>
      </c>
      <c r="B188" s="517" t="s">
        <v>513</v>
      </c>
      <c r="C188" s="518" t="s">
        <v>459</v>
      </c>
      <c r="D188" s="555">
        <v>36.96</v>
      </c>
      <c r="E188" s="556">
        <v>180</v>
      </c>
      <c r="F188" s="564">
        <f t="shared" si="18"/>
        <v>1131.42</v>
      </c>
      <c r="G188" s="558">
        <v>0.2</v>
      </c>
      <c r="H188" s="565">
        <f>(D188/F188)*G188</f>
        <v>6.5333828286577925E-3</v>
      </c>
      <c r="I188" s="560">
        <f t="shared" si="20"/>
        <v>1.232</v>
      </c>
    </row>
    <row r="189" spans="1:9" x14ac:dyDescent="0.25">
      <c r="A189" s="554">
        <v>9</v>
      </c>
      <c r="B189" s="517" t="s">
        <v>483</v>
      </c>
      <c r="C189" s="518" t="s">
        <v>459</v>
      </c>
      <c r="D189" s="555">
        <v>63.9</v>
      </c>
      <c r="E189" s="556">
        <v>90</v>
      </c>
      <c r="F189" s="564">
        <f t="shared" si="18"/>
        <v>565.71</v>
      </c>
      <c r="G189" s="558">
        <v>0.2</v>
      </c>
      <c r="H189" s="565">
        <f t="shared" ref="H189:H192" si="21">(D189/F189)*G189</f>
        <v>2.2591080235456328E-2</v>
      </c>
      <c r="I189" s="560">
        <f t="shared" si="20"/>
        <v>4.26</v>
      </c>
    </row>
    <row r="190" spans="1:9" x14ac:dyDescent="0.25">
      <c r="A190" s="554">
        <v>10</v>
      </c>
      <c r="B190" s="517" t="s">
        <v>514</v>
      </c>
      <c r="C190" s="518" t="s">
        <v>459</v>
      </c>
      <c r="D190" s="555">
        <v>29.41</v>
      </c>
      <c r="E190" s="556">
        <v>90</v>
      </c>
      <c r="F190" s="564">
        <f t="shared" si="18"/>
        <v>565.71</v>
      </c>
      <c r="G190" s="558">
        <v>0.2</v>
      </c>
      <c r="H190" s="565">
        <f t="shared" si="21"/>
        <v>1.0397553516819572E-2</v>
      </c>
      <c r="I190" s="560">
        <f t="shared" si="20"/>
        <v>1.9606699999999999</v>
      </c>
    </row>
    <row r="191" spans="1:9" x14ac:dyDescent="0.25">
      <c r="A191" s="554">
        <v>11</v>
      </c>
      <c r="B191" s="517" t="s">
        <v>507</v>
      </c>
      <c r="C191" s="518" t="s">
        <v>459</v>
      </c>
      <c r="D191" s="555">
        <v>21.9</v>
      </c>
      <c r="E191" s="556">
        <v>180</v>
      </c>
      <c r="F191" s="564">
        <f t="shared" si="18"/>
        <v>1131.42</v>
      </c>
      <c r="G191" s="558">
        <v>0.4</v>
      </c>
      <c r="H191" s="565">
        <f t="shared" si="21"/>
        <v>7.7424828975977081E-3</v>
      </c>
      <c r="I191" s="560">
        <f t="shared" si="20"/>
        <v>1.46</v>
      </c>
    </row>
    <row r="192" spans="1:9" x14ac:dyDescent="0.25">
      <c r="A192" s="554">
        <v>12</v>
      </c>
      <c r="B192" s="517" t="s">
        <v>515</v>
      </c>
      <c r="C192" s="518" t="s">
        <v>67</v>
      </c>
      <c r="D192" s="555">
        <v>55.12</v>
      </c>
      <c r="E192" s="556">
        <v>180</v>
      </c>
      <c r="F192" s="564">
        <f t="shared" si="18"/>
        <v>1131.42</v>
      </c>
      <c r="G192" s="558">
        <v>0.4</v>
      </c>
      <c r="H192" s="565">
        <f t="shared" si="21"/>
        <v>1.9487016315780169E-2</v>
      </c>
      <c r="I192" s="560">
        <f t="shared" si="20"/>
        <v>3.6746699999999999</v>
      </c>
    </row>
    <row r="193" spans="1:9" ht="15.75" thickBot="1" x14ac:dyDescent="0.3">
      <c r="A193" s="572"/>
      <c r="B193" s="573"/>
      <c r="C193" s="522"/>
      <c r="D193" s="574"/>
      <c r="E193" s="575"/>
      <c r="F193" s="576"/>
      <c r="G193" s="575" t="s">
        <v>121</v>
      </c>
      <c r="H193" s="577">
        <f>SUM(H181:H192)</f>
        <v>0.60863516642802851</v>
      </c>
      <c r="I193" s="524">
        <f>TRUNC((SUM(I181:I192)),2)</f>
        <v>114.77</v>
      </c>
    </row>
    <row r="194" spans="1:9" x14ac:dyDescent="0.25">
      <c r="A194" s="753" t="s">
        <v>470</v>
      </c>
      <c r="B194" s="753"/>
      <c r="C194" s="753"/>
      <c r="D194" s="753"/>
      <c r="E194" s="753"/>
      <c r="F194" s="753"/>
      <c r="G194" s="753"/>
      <c r="H194" s="753"/>
      <c r="I194" s="753"/>
    </row>
    <row r="195" spans="1:9" x14ac:dyDescent="0.25">
      <c r="A195" s="753" t="s">
        <v>516</v>
      </c>
      <c r="B195" s="753"/>
      <c r="C195" s="753"/>
      <c r="D195" s="753"/>
      <c r="E195" s="753"/>
      <c r="F195" s="753"/>
      <c r="G195" s="753"/>
      <c r="H195" s="753"/>
      <c r="I195" s="753"/>
    </row>
    <row r="196" spans="1:9" ht="15.75" thickBot="1" x14ac:dyDescent="0.3">
      <c r="A196" s="537"/>
      <c r="B196" s="536"/>
      <c r="C196" s="537"/>
      <c r="D196" s="537"/>
      <c r="E196" s="537"/>
      <c r="F196" s="537"/>
      <c r="G196" s="537"/>
      <c r="H196" s="537"/>
      <c r="I196" s="537"/>
    </row>
    <row r="197" spans="1:9" x14ac:dyDescent="0.25">
      <c r="A197" s="754" t="s">
        <v>517</v>
      </c>
      <c r="B197" s="755"/>
      <c r="C197" s="755"/>
      <c r="D197" s="755"/>
      <c r="E197" s="755"/>
      <c r="F197" s="755"/>
      <c r="G197" s="755"/>
      <c r="H197" s="755"/>
      <c r="I197" s="756"/>
    </row>
    <row r="198" spans="1:9" x14ac:dyDescent="0.25">
      <c r="A198" s="578"/>
      <c r="B198" s="579"/>
      <c r="C198" s="579"/>
      <c r="D198" s="579"/>
      <c r="E198" s="579"/>
      <c r="F198" s="579"/>
      <c r="G198" s="579"/>
      <c r="H198" s="579"/>
      <c r="I198" s="580"/>
    </row>
    <row r="199" spans="1:9" x14ac:dyDescent="0.25">
      <c r="A199" s="525" t="s">
        <v>137</v>
      </c>
      <c r="B199" s="526" t="s">
        <v>212</v>
      </c>
      <c r="C199" s="527"/>
      <c r="D199" s="528"/>
      <c r="E199" s="529"/>
      <c r="F199" s="529"/>
      <c r="G199" s="529"/>
      <c r="H199" s="529"/>
      <c r="I199" s="530"/>
    </row>
    <row r="200" spans="1:9" x14ac:dyDescent="0.25">
      <c r="A200" s="525" t="s">
        <v>140</v>
      </c>
      <c r="B200" s="531" t="s">
        <v>51</v>
      </c>
      <c r="C200" s="527"/>
      <c r="D200" s="528"/>
      <c r="E200" s="529"/>
      <c r="F200" s="529"/>
      <c r="G200" s="529"/>
      <c r="H200" s="529"/>
      <c r="I200" s="530"/>
    </row>
    <row r="201" spans="1:9" x14ac:dyDescent="0.25">
      <c r="A201" s="525" t="s">
        <v>142</v>
      </c>
      <c r="B201" s="581" t="s">
        <v>518</v>
      </c>
      <c r="C201" s="527"/>
      <c r="D201" s="528"/>
      <c r="E201" s="529"/>
      <c r="F201" s="529"/>
      <c r="G201" s="529"/>
      <c r="H201" s="529"/>
      <c r="I201" s="530"/>
    </row>
    <row r="202" spans="1:9" x14ac:dyDescent="0.25">
      <c r="A202" s="525" t="s">
        <v>141</v>
      </c>
      <c r="B202" s="526" t="s">
        <v>67</v>
      </c>
      <c r="C202" s="527"/>
      <c r="D202" s="528"/>
      <c r="E202" s="529"/>
      <c r="F202" s="529"/>
      <c r="G202" s="529"/>
      <c r="H202" s="529"/>
      <c r="I202" s="530"/>
    </row>
    <row r="203" spans="1:9" x14ac:dyDescent="0.25">
      <c r="A203" s="525" t="s">
        <v>343</v>
      </c>
      <c r="B203" s="526" t="s">
        <v>213</v>
      </c>
      <c r="C203" s="527"/>
      <c r="D203" s="528"/>
      <c r="E203" s="529"/>
      <c r="F203" s="529"/>
      <c r="G203" s="529"/>
      <c r="H203" s="529"/>
      <c r="I203" s="530"/>
    </row>
    <row r="204" spans="1:9" x14ac:dyDescent="0.25">
      <c r="A204" s="532" t="s">
        <v>473</v>
      </c>
      <c r="B204" s="750" t="s">
        <v>51</v>
      </c>
      <c r="C204" s="751"/>
      <c r="D204" s="751"/>
      <c r="E204" s="751"/>
      <c r="F204" s="751"/>
      <c r="G204" s="751"/>
      <c r="H204" s="751"/>
      <c r="I204" s="757"/>
    </row>
    <row r="205" spans="1:9" ht="15.75" thickBot="1" x14ac:dyDescent="0.3">
      <c r="A205" s="758" t="s">
        <v>519</v>
      </c>
      <c r="B205" s="759"/>
      <c r="C205" s="759"/>
      <c r="D205" s="759"/>
      <c r="E205" s="759"/>
      <c r="F205" s="759"/>
      <c r="G205" s="759"/>
      <c r="H205" s="759"/>
      <c r="I205" s="582">
        <v>270.51</v>
      </c>
    </row>
    <row r="206" spans="1:9" x14ac:dyDescent="0.25">
      <c r="A206" s="753" t="s">
        <v>520</v>
      </c>
      <c r="B206" s="753"/>
      <c r="C206" s="753"/>
      <c r="D206" s="753"/>
      <c r="E206" s="753"/>
      <c r="F206" s="753"/>
      <c r="G206" s="753"/>
      <c r="H206" s="753"/>
      <c r="I206" s="753"/>
    </row>
    <row r="207" spans="1:9" x14ac:dyDescent="0.25">
      <c r="A207" s="537"/>
      <c r="B207" s="537"/>
      <c r="C207" s="537"/>
      <c r="D207" s="537"/>
      <c r="E207" s="537"/>
      <c r="F207" s="537"/>
      <c r="G207" s="537"/>
      <c r="H207" s="537"/>
      <c r="I207" s="537"/>
    </row>
    <row r="208" spans="1:9" x14ac:dyDescent="0.25">
      <c r="A208" s="749" t="s">
        <v>521</v>
      </c>
      <c r="B208" s="749"/>
      <c r="C208" s="749"/>
      <c r="D208" s="749"/>
      <c r="E208" s="749"/>
      <c r="F208" s="749"/>
      <c r="G208" s="749"/>
      <c r="H208" s="749"/>
      <c r="I208" s="749"/>
    </row>
    <row r="209" spans="1:9" x14ac:dyDescent="0.25">
      <c r="A209" s="579"/>
      <c r="B209" s="579"/>
      <c r="C209" s="579"/>
      <c r="D209" s="579"/>
      <c r="E209" s="579"/>
      <c r="F209" s="579"/>
      <c r="G209" s="579"/>
      <c r="H209" s="579"/>
      <c r="I209" s="579"/>
    </row>
    <row r="210" spans="1:9" x14ac:dyDescent="0.25">
      <c r="A210" s="532" t="s">
        <v>137</v>
      </c>
      <c r="B210" s="526" t="s">
        <v>522</v>
      </c>
      <c r="C210" s="527"/>
      <c r="D210" s="528"/>
      <c r="E210" s="529"/>
      <c r="F210" s="529"/>
      <c r="G210" s="529"/>
      <c r="H210" s="529"/>
      <c r="I210" s="583"/>
    </row>
    <row r="211" spans="1:9" x14ac:dyDescent="0.25">
      <c r="A211" s="532" t="s">
        <v>140</v>
      </c>
      <c r="B211" s="531" t="s">
        <v>51</v>
      </c>
      <c r="C211" s="527"/>
      <c r="D211" s="528"/>
      <c r="E211" s="529"/>
      <c r="F211" s="529"/>
      <c r="G211" s="529"/>
      <c r="H211" s="529"/>
      <c r="I211" s="583"/>
    </row>
    <row r="212" spans="1:9" x14ac:dyDescent="0.25">
      <c r="A212" s="532" t="s">
        <v>142</v>
      </c>
      <c r="B212" s="581" t="s">
        <v>518</v>
      </c>
      <c r="C212" s="527"/>
      <c r="D212" s="528"/>
      <c r="E212" s="529"/>
      <c r="F212" s="529"/>
      <c r="G212" s="529"/>
      <c r="H212" s="529"/>
      <c r="I212" s="583"/>
    </row>
    <row r="213" spans="1:9" x14ac:dyDescent="0.25">
      <c r="A213" s="532" t="s">
        <v>141</v>
      </c>
      <c r="B213" s="526" t="s">
        <v>67</v>
      </c>
      <c r="C213" s="527"/>
      <c r="D213" s="528"/>
      <c r="E213" s="529"/>
      <c r="F213" s="529"/>
      <c r="G213" s="529"/>
      <c r="H213" s="529"/>
      <c r="I213" s="583"/>
    </row>
    <row r="214" spans="1:9" x14ac:dyDescent="0.25">
      <c r="A214" s="532" t="s">
        <v>343</v>
      </c>
      <c r="B214" s="526" t="s">
        <v>213</v>
      </c>
      <c r="C214" s="527"/>
      <c r="D214" s="528"/>
      <c r="E214" s="529"/>
      <c r="F214" s="529"/>
      <c r="G214" s="529"/>
      <c r="H214" s="529"/>
      <c r="I214" s="583"/>
    </row>
    <row r="215" spans="1:9" x14ac:dyDescent="0.25">
      <c r="A215" s="532" t="s">
        <v>473</v>
      </c>
      <c r="B215" s="750" t="s">
        <v>51</v>
      </c>
      <c r="C215" s="751"/>
      <c r="D215" s="751"/>
      <c r="E215" s="751"/>
      <c r="F215" s="751"/>
      <c r="G215" s="751"/>
      <c r="H215" s="751"/>
      <c r="I215" s="752"/>
    </row>
    <row r="216" spans="1:9" x14ac:dyDescent="0.25">
      <c r="A216" s="749" t="s">
        <v>523</v>
      </c>
      <c r="B216" s="749"/>
      <c r="C216" s="749"/>
      <c r="D216" s="749"/>
      <c r="E216" s="749"/>
      <c r="F216" s="749"/>
      <c r="G216" s="749"/>
      <c r="H216" s="749"/>
      <c r="I216" s="584">
        <v>15.46</v>
      </c>
    </row>
    <row r="217" spans="1:9" x14ac:dyDescent="0.25">
      <c r="A217" s="753" t="s">
        <v>520</v>
      </c>
      <c r="B217" s="753"/>
      <c r="C217" s="753"/>
      <c r="D217" s="753"/>
      <c r="E217" s="753"/>
      <c r="F217" s="753"/>
      <c r="G217" s="753"/>
      <c r="H217" s="753"/>
      <c r="I217" s="753"/>
    </row>
  </sheetData>
  <mergeCells count="40">
    <mergeCell ref="B19:I19"/>
    <mergeCell ref="A1:I1"/>
    <mergeCell ref="A3:I3"/>
    <mergeCell ref="A10:H10"/>
    <mergeCell ref="A11:I11"/>
    <mergeCell ref="A13:I13"/>
    <mergeCell ref="A88:I88"/>
    <mergeCell ref="A20:H20"/>
    <mergeCell ref="A21:I21"/>
    <mergeCell ref="A23:I23"/>
    <mergeCell ref="A30:H30"/>
    <mergeCell ref="A31:H31"/>
    <mergeCell ref="A32:I32"/>
    <mergeCell ref="A34:I34"/>
    <mergeCell ref="A42:I42"/>
    <mergeCell ref="A52:I52"/>
    <mergeCell ref="A64:I64"/>
    <mergeCell ref="A74:I74"/>
    <mergeCell ref="A179:I179"/>
    <mergeCell ref="A101:I101"/>
    <mergeCell ref="A102:I102"/>
    <mergeCell ref="A104:I104"/>
    <mergeCell ref="B110:I110"/>
    <mergeCell ref="A111:H111"/>
    <mergeCell ref="A112:H112"/>
    <mergeCell ref="A114:I114"/>
    <mergeCell ref="A117:I117"/>
    <mergeCell ref="A124:I124"/>
    <mergeCell ref="A142:I142"/>
    <mergeCell ref="A153:I153"/>
    <mergeCell ref="A208:I208"/>
    <mergeCell ref="B215:I215"/>
    <mergeCell ref="A216:H216"/>
    <mergeCell ref="A217:I217"/>
    <mergeCell ref="A194:I194"/>
    <mergeCell ref="A195:I195"/>
    <mergeCell ref="A197:I197"/>
    <mergeCell ref="B204:I204"/>
    <mergeCell ref="A205:H205"/>
    <mergeCell ref="A206:I206"/>
  </mergeCells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CC3B0-B289-4AF8-BF4E-818D22046BFF}">
  <dimension ref="A1:C32"/>
  <sheetViews>
    <sheetView workbookViewId="0">
      <selection activeCell="C29" sqref="C29"/>
    </sheetView>
  </sheetViews>
  <sheetFormatPr defaultColWidth="9.140625" defaultRowHeight="15" x14ac:dyDescent="0.25"/>
  <cols>
    <col min="1" max="1" width="8.140625" style="43" bestFit="1" customWidth="1"/>
    <col min="2" max="2" width="69.42578125" style="43" customWidth="1"/>
    <col min="3" max="3" width="13" style="43" customWidth="1"/>
    <col min="4" max="4" width="7.42578125" style="43" customWidth="1"/>
    <col min="5" max="16384" width="9.140625" style="43"/>
  </cols>
  <sheetData>
    <row r="1" spans="1:3" ht="15.75" x14ac:dyDescent="0.25">
      <c r="A1" s="710" t="s">
        <v>230</v>
      </c>
      <c r="B1" s="710"/>
      <c r="C1" s="710"/>
    </row>
    <row r="2" spans="1:3" ht="15.75" x14ac:dyDescent="0.25">
      <c r="A2" s="137"/>
      <c r="B2" s="138"/>
      <c r="C2" s="138"/>
    </row>
    <row r="3" spans="1:3" x14ac:dyDescent="0.25">
      <c r="A3" s="139" t="s">
        <v>231</v>
      </c>
      <c r="B3" s="133" t="s">
        <v>232</v>
      </c>
      <c r="C3" s="133" t="s">
        <v>146</v>
      </c>
    </row>
    <row r="4" spans="1:3" x14ac:dyDescent="0.25">
      <c r="A4" s="140"/>
      <c r="B4" s="131" t="s">
        <v>149</v>
      </c>
      <c r="C4" s="142">
        <f>SUM(C5:C13)</f>
        <v>0</v>
      </c>
    </row>
    <row r="5" spans="1:3" x14ac:dyDescent="0.25">
      <c r="A5" s="120" t="s">
        <v>233</v>
      </c>
      <c r="B5" s="132" t="s">
        <v>151</v>
      </c>
      <c r="C5" s="441">
        <v>0</v>
      </c>
    </row>
    <row r="6" spans="1:3" x14ac:dyDescent="0.25">
      <c r="A6" s="120" t="s">
        <v>234</v>
      </c>
      <c r="B6" s="132" t="s">
        <v>153</v>
      </c>
      <c r="C6" s="441">
        <v>0</v>
      </c>
    </row>
    <row r="7" spans="1:3" x14ac:dyDescent="0.25">
      <c r="A7" s="120" t="s">
        <v>235</v>
      </c>
      <c r="B7" s="132" t="s">
        <v>236</v>
      </c>
      <c r="C7" s="441">
        <v>0</v>
      </c>
    </row>
    <row r="8" spans="1:3" x14ac:dyDescent="0.25">
      <c r="A8" s="120" t="s">
        <v>237</v>
      </c>
      <c r="B8" s="132" t="s">
        <v>157</v>
      </c>
      <c r="C8" s="441">
        <v>0</v>
      </c>
    </row>
    <row r="9" spans="1:3" x14ac:dyDescent="0.25">
      <c r="A9" s="120" t="s">
        <v>238</v>
      </c>
      <c r="B9" s="132" t="s">
        <v>159</v>
      </c>
      <c r="C9" s="441">
        <v>0</v>
      </c>
    </row>
    <row r="10" spans="1:3" x14ac:dyDescent="0.25">
      <c r="A10" s="120" t="s">
        <v>239</v>
      </c>
      <c r="B10" s="132" t="s">
        <v>161</v>
      </c>
      <c r="C10" s="441">
        <v>0</v>
      </c>
    </row>
    <row r="11" spans="1:3" x14ac:dyDescent="0.25">
      <c r="A11" s="120" t="s">
        <v>240</v>
      </c>
      <c r="B11" s="132" t="s">
        <v>163</v>
      </c>
      <c r="C11" s="441">
        <v>0</v>
      </c>
    </row>
    <row r="12" spans="1:3" x14ac:dyDescent="0.25">
      <c r="A12" s="120" t="s">
        <v>241</v>
      </c>
      <c r="B12" s="132" t="s">
        <v>165</v>
      </c>
      <c r="C12" s="441">
        <v>0</v>
      </c>
    </row>
    <row r="13" spans="1:3" x14ac:dyDescent="0.25">
      <c r="A13" s="120" t="s">
        <v>242</v>
      </c>
      <c r="B13" s="132" t="s">
        <v>167</v>
      </c>
      <c r="C13" s="441">
        <v>0</v>
      </c>
    </row>
    <row r="14" spans="1:3" x14ac:dyDescent="0.25">
      <c r="A14" s="140"/>
      <c r="B14" s="131" t="s">
        <v>169</v>
      </c>
      <c r="C14" s="142">
        <f>SUM(C15:C21)</f>
        <v>0</v>
      </c>
    </row>
    <row r="15" spans="1:3" x14ac:dyDescent="0.25">
      <c r="A15" s="141" t="s">
        <v>243</v>
      </c>
      <c r="B15" s="132" t="s">
        <v>171</v>
      </c>
      <c r="C15" s="441">
        <v>0</v>
      </c>
    </row>
    <row r="16" spans="1:3" x14ac:dyDescent="0.25">
      <c r="A16" s="141" t="s">
        <v>244</v>
      </c>
      <c r="B16" s="132" t="s">
        <v>173</v>
      </c>
      <c r="C16" s="441">
        <v>0</v>
      </c>
    </row>
    <row r="17" spans="1:3" x14ac:dyDescent="0.25">
      <c r="A17" s="141" t="s">
        <v>245</v>
      </c>
      <c r="B17" s="132" t="s">
        <v>175</v>
      </c>
      <c r="C17" s="441">
        <v>0</v>
      </c>
    </row>
    <row r="18" spans="1:3" x14ac:dyDescent="0.25">
      <c r="A18" s="141" t="s">
        <v>246</v>
      </c>
      <c r="B18" s="132" t="s">
        <v>177</v>
      </c>
      <c r="C18" s="441">
        <v>0</v>
      </c>
    </row>
    <row r="19" spans="1:3" x14ac:dyDescent="0.25">
      <c r="A19" s="141" t="s">
        <v>247</v>
      </c>
      <c r="B19" s="132" t="s">
        <v>179</v>
      </c>
      <c r="C19" s="441">
        <v>0</v>
      </c>
    </row>
    <row r="20" spans="1:3" x14ac:dyDescent="0.25">
      <c r="A20" s="141" t="s">
        <v>248</v>
      </c>
      <c r="B20" s="132" t="s">
        <v>181</v>
      </c>
      <c r="C20" s="441">
        <v>0</v>
      </c>
    </row>
    <row r="21" spans="1:3" x14ac:dyDescent="0.25">
      <c r="A21" s="141" t="s">
        <v>249</v>
      </c>
      <c r="B21" s="132" t="s">
        <v>183</v>
      </c>
      <c r="C21" s="441">
        <v>0</v>
      </c>
    </row>
    <row r="22" spans="1:3" x14ac:dyDescent="0.25">
      <c r="A22" s="140"/>
      <c r="B22" s="131" t="s">
        <v>185</v>
      </c>
      <c r="C22" s="142">
        <f>SUM(C23:C27)</f>
        <v>0</v>
      </c>
    </row>
    <row r="23" spans="1:3" x14ac:dyDescent="0.25">
      <c r="A23" s="120" t="s">
        <v>250</v>
      </c>
      <c r="B23" s="132" t="s">
        <v>187</v>
      </c>
      <c r="C23" s="441">
        <v>0</v>
      </c>
    </row>
    <row r="24" spans="1:3" x14ac:dyDescent="0.25">
      <c r="A24" s="120" t="s">
        <v>251</v>
      </c>
      <c r="B24" s="132" t="s">
        <v>189</v>
      </c>
      <c r="C24" s="441">
        <v>0</v>
      </c>
    </row>
    <row r="25" spans="1:3" x14ac:dyDescent="0.25">
      <c r="A25" s="120" t="s">
        <v>252</v>
      </c>
      <c r="B25" s="132" t="s">
        <v>191</v>
      </c>
      <c r="C25" s="441">
        <v>0</v>
      </c>
    </row>
    <row r="26" spans="1:3" x14ac:dyDescent="0.25">
      <c r="A26" s="120" t="s">
        <v>253</v>
      </c>
      <c r="B26" s="132" t="s">
        <v>193</v>
      </c>
      <c r="C26" s="441">
        <v>0</v>
      </c>
    </row>
    <row r="27" spans="1:3" x14ac:dyDescent="0.25">
      <c r="A27" s="120" t="s">
        <v>254</v>
      </c>
      <c r="B27" s="132" t="s">
        <v>195</v>
      </c>
      <c r="C27" s="441">
        <v>0</v>
      </c>
    </row>
    <row r="28" spans="1:3" x14ac:dyDescent="0.25">
      <c r="A28" s="140"/>
      <c r="B28" s="131" t="s">
        <v>197</v>
      </c>
      <c r="C28" s="142">
        <f>SUM(C29:C30)</f>
        <v>0</v>
      </c>
    </row>
    <row r="29" spans="1:3" x14ac:dyDescent="0.25">
      <c r="A29" s="120" t="s">
        <v>255</v>
      </c>
      <c r="B29" s="132" t="s">
        <v>199</v>
      </c>
      <c r="C29" s="441">
        <v>0</v>
      </c>
    </row>
    <row r="30" spans="1:3" ht="25.5" x14ac:dyDescent="0.25">
      <c r="A30" s="120" t="s">
        <v>256</v>
      </c>
      <c r="B30" s="44" t="s">
        <v>257</v>
      </c>
      <c r="C30" s="441">
        <v>0</v>
      </c>
    </row>
    <row r="31" spans="1:3" x14ac:dyDescent="0.25">
      <c r="A31" s="778" t="s">
        <v>258</v>
      </c>
      <c r="B31" s="778"/>
      <c r="C31" s="143">
        <f>C4+C14+C22+C28</f>
        <v>0</v>
      </c>
    </row>
    <row r="32" spans="1:3" x14ac:dyDescent="0.25">
      <c r="A32" s="122"/>
      <c r="B32" s="122"/>
      <c r="C32" s="122"/>
    </row>
  </sheetData>
  <mergeCells count="2">
    <mergeCell ref="A31:B31"/>
    <mergeCell ref="A1:C1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portrait" horizontalDpi="1200" verticalDpi="1200" r:id="rId1"/>
  <headerFooter>
    <oddFooter>Página &amp;P de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38031-7602-4589-B389-CDA21E6431D1}">
  <dimension ref="A1:F16"/>
  <sheetViews>
    <sheetView topLeftCell="B1" workbookViewId="0">
      <selection activeCell="C7" sqref="C7"/>
    </sheetView>
  </sheetViews>
  <sheetFormatPr defaultColWidth="9.140625" defaultRowHeight="12" customHeight="1" x14ac:dyDescent="0.25"/>
  <cols>
    <col min="1" max="1" width="34.28515625" style="147" customWidth="1"/>
    <col min="2" max="4" width="40.7109375" style="147" customWidth="1"/>
    <col min="5" max="5" width="9.140625" style="144"/>
    <col min="6" max="6" width="11.5703125" style="144" bestFit="1" customWidth="1"/>
    <col min="7" max="16384" width="9.140625" style="144"/>
  </cols>
  <sheetData>
    <row r="1" spans="1:6" ht="15.75" x14ac:dyDescent="0.25">
      <c r="A1" s="780" t="s">
        <v>259</v>
      </c>
      <c r="B1" s="781"/>
      <c r="C1" s="781"/>
      <c r="D1" s="782"/>
    </row>
    <row r="2" spans="1:6" ht="12.75" thickBot="1" x14ac:dyDescent="0.3"/>
    <row r="3" spans="1:6" ht="12.75" x14ac:dyDescent="0.25">
      <c r="A3" s="783" t="s">
        <v>260</v>
      </c>
      <c r="B3" s="784"/>
      <c r="C3" s="784"/>
      <c r="D3" s="785"/>
    </row>
    <row r="4" spans="1:6" ht="12.75" x14ac:dyDescent="0.25">
      <c r="A4" s="184" t="s">
        <v>261</v>
      </c>
      <c r="B4" s="162" t="s">
        <v>262</v>
      </c>
      <c r="C4" s="162" t="s">
        <v>263</v>
      </c>
      <c r="D4" s="135" t="s">
        <v>264</v>
      </c>
    </row>
    <row r="5" spans="1:6" x14ac:dyDescent="0.25">
      <c r="A5" s="186" t="s">
        <v>265</v>
      </c>
      <c r="B5" s="450">
        <v>0</v>
      </c>
      <c r="C5" s="450">
        <v>0</v>
      </c>
      <c r="D5" s="451">
        <v>0</v>
      </c>
    </row>
    <row r="6" spans="1:6" x14ac:dyDescent="0.25">
      <c r="A6" s="186" t="s">
        <v>266</v>
      </c>
      <c r="B6" s="587"/>
      <c r="C6" s="587"/>
      <c r="D6" s="588"/>
      <c r="F6" s="314"/>
    </row>
    <row r="7" spans="1:6" ht="12.75" x14ac:dyDescent="0.25">
      <c r="A7" s="187" t="s">
        <v>229</v>
      </c>
      <c r="B7" s="169">
        <f>B5*B6</f>
        <v>0</v>
      </c>
      <c r="C7" s="169">
        <f t="shared" ref="C7:D7" si="0">C5*C6</f>
        <v>0</v>
      </c>
      <c r="D7" s="169">
        <f t="shared" si="0"/>
        <v>0</v>
      </c>
    </row>
    <row r="8" spans="1:6" ht="18" customHeight="1" x14ac:dyDescent="0.2">
      <c r="A8" s="786"/>
      <c r="B8" s="786"/>
      <c r="C8" s="379"/>
      <c r="D8" s="379"/>
    </row>
    <row r="9" spans="1:6" ht="15" customHeight="1" x14ac:dyDescent="0.25">
      <c r="A9" s="779"/>
      <c r="B9" s="779"/>
      <c r="C9" s="779"/>
      <c r="D9" s="779"/>
    </row>
    <row r="10" spans="1:6" ht="13.9" customHeight="1" x14ac:dyDescent="0.25">
      <c r="A10" s="779"/>
      <c r="B10" s="779"/>
      <c r="C10" s="779"/>
      <c r="D10" s="779"/>
    </row>
    <row r="11" spans="1:6" ht="14.45" customHeight="1" x14ac:dyDescent="0.25">
      <c r="A11" s="779"/>
      <c r="B11" s="779"/>
      <c r="C11" s="779"/>
      <c r="D11" s="779"/>
      <c r="F11" s="144">
        <f>3000/12</f>
        <v>250</v>
      </c>
    </row>
    <row r="12" spans="1:6" ht="21" customHeight="1" x14ac:dyDescent="0.25">
      <c r="A12" s="779"/>
      <c r="B12" s="779"/>
      <c r="C12" s="779"/>
      <c r="D12" s="779"/>
    </row>
    <row r="13" spans="1:6" ht="23.25" customHeight="1" x14ac:dyDescent="0.25">
      <c r="A13" s="144"/>
    </row>
    <row r="16" spans="1:6" ht="27" customHeight="1" x14ac:dyDescent="0.25"/>
  </sheetData>
  <mergeCells count="7">
    <mergeCell ref="A12:D12"/>
    <mergeCell ref="A1:D1"/>
    <mergeCell ref="A9:D9"/>
    <mergeCell ref="A10:D10"/>
    <mergeCell ref="A11:D11"/>
    <mergeCell ref="A3:D3"/>
    <mergeCell ref="A8:B8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landscape" horizontalDpi="1200" verticalDpi="1200" r:id="rId1"/>
  <headerFooter>
    <oddFooter>Página &amp;P de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EB7A7-9CAE-4B91-9A44-5F5B8C9B306C}">
  <dimension ref="A1:G86"/>
  <sheetViews>
    <sheetView topLeftCell="A66" workbookViewId="0">
      <selection activeCell="D89" sqref="D89"/>
    </sheetView>
  </sheetViews>
  <sheetFormatPr defaultColWidth="9.140625" defaultRowHeight="12" x14ac:dyDescent="0.25"/>
  <cols>
    <col min="1" max="1" width="34.28515625" style="147" customWidth="1"/>
    <col min="2" max="5" width="40.7109375" style="147" customWidth="1"/>
    <col min="6" max="6" width="9.140625" style="144"/>
    <col min="7" max="7" width="11.5703125" style="144" bestFit="1" customWidth="1"/>
    <col min="8" max="16384" width="9.140625" style="144"/>
  </cols>
  <sheetData>
    <row r="1" spans="1:5" ht="15.75" x14ac:dyDescent="0.25">
      <c r="A1" s="780" t="s">
        <v>267</v>
      </c>
      <c r="B1" s="781"/>
      <c r="C1" s="781"/>
      <c r="D1" s="781"/>
      <c r="E1" s="782"/>
    </row>
    <row r="2" spans="1:5" ht="6.75" customHeight="1" x14ac:dyDescent="0.25"/>
    <row r="3" spans="1:5" ht="12.75" x14ac:dyDescent="0.25">
      <c r="A3" s="799" t="s">
        <v>268</v>
      </c>
      <c r="B3" s="800"/>
      <c r="C3" s="800"/>
      <c r="D3" s="800"/>
      <c r="E3" s="801"/>
    </row>
    <row r="4" spans="1:5" ht="22.5" x14ac:dyDescent="0.25">
      <c r="A4" s="163" t="s">
        <v>261</v>
      </c>
      <c r="B4" s="153" t="s">
        <v>262</v>
      </c>
      <c r="C4" s="153" t="s">
        <v>263</v>
      </c>
      <c r="D4" s="153" t="s">
        <v>269</v>
      </c>
      <c r="E4" s="164" t="s">
        <v>270</v>
      </c>
    </row>
    <row r="5" spans="1:5" x14ac:dyDescent="0.25">
      <c r="A5" s="163" t="s">
        <v>137</v>
      </c>
      <c r="B5" s="153" t="s">
        <v>37</v>
      </c>
      <c r="C5" s="153" t="s">
        <v>39</v>
      </c>
      <c r="D5" s="153" t="s">
        <v>271</v>
      </c>
      <c r="E5" s="164" t="s">
        <v>41</v>
      </c>
    </row>
    <row r="6" spans="1:5" ht="45" x14ac:dyDescent="0.25">
      <c r="A6" s="165" t="s">
        <v>272</v>
      </c>
      <c r="B6" s="154" t="s">
        <v>273</v>
      </c>
      <c r="C6" s="154" t="s">
        <v>274</v>
      </c>
      <c r="D6" s="154" t="s">
        <v>274</v>
      </c>
      <c r="E6" s="166" t="s">
        <v>275</v>
      </c>
    </row>
    <row r="7" spans="1:5" x14ac:dyDescent="0.25">
      <c r="A7" s="165" t="s">
        <v>141</v>
      </c>
      <c r="B7" s="154" t="s">
        <v>67</v>
      </c>
      <c r="C7" s="154" t="s">
        <v>67</v>
      </c>
      <c r="D7" s="154" t="s">
        <v>67</v>
      </c>
      <c r="E7" s="166" t="s">
        <v>67</v>
      </c>
    </row>
    <row r="8" spans="1:5" x14ac:dyDescent="0.25">
      <c r="A8" s="165" t="s">
        <v>140</v>
      </c>
      <c r="B8" s="154">
        <v>1159</v>
      </c>
      <c r="C8" s="154">
        <v>44057</v>
      </c>
      <c r="D8" s="154">
        <v>44057</v>
      </c>
      <c r="E8" s="166">
        <v>11281</v>
      </c>
    </row>
    <row r="9" spans="1:5" x14ac:dyDescent="0.25">
      <c r="A9" s="165" t="s">
        <v>142</v>
      </c>
      <c r="B9" s="273">
        <v>45597</v>
      </c>
      <c r="C9" s="273">
        <v>45597</v>
      </c>
      <c r="D9" s="273">
        <v>45597</v>
      </c>
      <c r="E9" s="274">
        <v>45597</v>
      </c>
    </row>
    <row r="10" spans="1:5" x14ac:dyDescent="0.25">
      <c r="A10" s="167" t="s">
        <v>265</v>
      </c>
      <c r="B10" s="155">
        <v>269408.33</v>
      </c>
      <c r="C10" s="155">
        <v>481947.5</v>
      </c>
      <c r="D10" s="155">
        <f>C10</f>
        <v>481947.5</v>
      </c>
      <c r="E10" s="168">
        <f>9200</f>
        <v>9200</v>
      </c>
    </row>
    <row r="11" spans="1:5" ht="33.75" x14ac:dyDescent="0.25">
      <c r="A11" s="165" t="s">
        <v>276</v>
      </c>
      <c r="B11" s="154" t="s">
        <v>51</v>
      </c>
      <c r="C11" s="104" t="s">
        <v>277</v>
      </c>
      <c r="D11" s="104" t="s">
        <v>277</v>
      </c>
      <c r="E11" s="166"/>
    </row>
    <row r="12" spans="1:5" x14ac:dyDescent="0.25">
      <c r="A12" s="165" t="s">
        <v>141</v>
      </c>
      <c r="B12" s="154" t="s">
        <v>51</v>
      </c>
      <c r="C12" s="154" t="s">
        <v>67</v>
      </c>
      <c r="D12" s="154" t="s">
        <v>67</v>
      </c>
      <c r="E12" s="166"/>
    </row>
    <row r="13" spans="1:5" x14ac:dyDescent="0.25">
      <c r="A13" s="165" t="s">
        <v>140</v>
      </c>
      <c r="B13" s="154" t="s">
        <v>51</v>
      </c>
      <c r="C13" s="154">
        <v>37727</v>
      </c>
      <c r="D13" s="154">
        <v>37727</v>
      </c>
      <c r="E13" s="166"/>
    </row>
    <row r="14" spans="1:5" x14ac:dyDescent="0.25">
      <c r="A14" s="165" t="s">
        <v>142</v>
      </c>
      <c r="B14" s="154" t="s">
        <v>51</v>
      </c>
      <c r="C14" s="273">
        <v>45597</v>
      </c>
      <c r="D14" s="273">
        <v>45323</v>
      </c>
      <c r="E14" s="166"/>
    </row>
    <row r="15" spans="1:5" x14ac:dyDescent="0.25">
      <c r="A15" s="167" t="s">
        <v>265</v>
      </c>
      <c r="B15" s="155" t="s">
        <v>51</v>
      </c>
      <c r="C15" s="156">
        <v>19900</v>
      </c>
      <c r="D15" s="156">
        <f>C15</f>
        <v>19900</v>
      </c>
      <c r="E15" s="168"/>
    </row>
    <row r="16" spans="1:5" ht="33.75" x14ac:dyDescent="0.25">
      <c r="A16" s="165" t="s">
        <v>278</v>
      </c>
      <c r="B16" s="154" t="s">
        <v>51</v>
      </c>
      <c r="C16" s="371" t="s">
        <v>279</v>
      </c>
      <c r="D16" s="371" t="s">
        <v>280</v>
      </c>
      <c r="E16" s="166"/>
    </row>
    <row r="17" spans="1:5" x14ac:dyDescent="0.25">
      <c r="A17" s="165" t="s">
        <v>141</v>
      </c>
      <c r="B17" s="154" t="s">
        <v>51</v>
      </c>
      <c r="C17" s="372" t="s">
        <v>281</v>
      </c>
      <c r="D17" s="372" t="s">
        <v>282</v>
      </c>
      <c r="E17" s="166"/>
    </row>
    <row r="18" spans="1:5" x14ac:dyDescent="0.25">
      <c r="A18" s="165" t="s">
        <v>140</v>
      </c>
      <c r="B18" s="154" t="s">
        <v>51</v>
      </c>
      <c r="C18" s="372" t="s">
        <v>51</v>
      </c>
      <c r="D18" s="372">
        <v>35001189</v>
      </c>
      <c r="E18" s="166"/>
    </row>
    <row r="19" spans="1:5" x14ac:dyDescent="0.25">
      <c r="A19" s="165" t="s">
        <v>142</v>
      </c>
      <c r="B19" s="154" t="s">
        <v>51</v>
      </c>
      <c r="C19" s="373">
        <v>45261</v>
      </c>
      <c r="D19" s="373">
        <v>45261</v>
      </c>
      <c r="E19" s="166"/>
    </row>
    <row r="20" spans="1:5" x14ac:dyDescent="0.25">
      <c r="A20" s="167" t="s">
        <v>265</v>
      </c>
      <c r="B20" s="155" t="s">
        <v>51</v>
      </c>
      <c r="C20" s="155">
        <v>27478.39</v>
      </c>
      <c r="D20" s="155">
        <f>C20</f>
        <v>27478.39</v>
      </c>
      <c r="E20" s="168"/>
    </row>
    <row r="21" spans="1:5" ht="56.25" x14ac:dyDescent="0.25">
      <c r="A21" s="165" t="s">
        <v>283</v>
      </c>
      <c r="B21" s="154" t="s">
        <v>51</v>
      </c>
      <c r="C21" s="154"/>
      <c r="D21" s="104" t="s">
        <v>284</v>
      </c>
      <c r="E21" s="166"/>
    </row>
    <row r="22" spans="1:5" x14ac:dyDescent="0.25">
      <c r="A22" s="165" t="s">
        <v>141</v>
      </c>
      <c r="B22" s="154" t="s">
        <v>51</v>
      </c>
      <c r="C22" s="154"/>
      <c r="D22" s="154" t="s">
        <v>67</v>
      </c>
      <c r="E22" s="166"/>
    </row>
    <row r="23" spans="1:5" x14ac:dyDescent="0.25">
      <c r="A23" s="165" t="s">
        <v>140</v>
      </c>
      <c r="B23" s="154" t="s">
        <v>51</v>
      </c>
      <c r="C23" s="154"/>
      <c r="D23" s="154">
        <v>3363</v>
      </c>
      <c r="E23" s="166"/>
    </row>
    <row r="24" spans="1:5" x14ac:dyDescent="0.25">
      <c r="A24" s="165" t="s">
        <v>142</v>
      </c>
      <c r="B24" s="154" t="s">
        <v>51</v>
      </c>
      <c r="C24" s="154"/>
      <c r="D24" s="273">
        <v>45597</v>
      </c>
      <c r="E24" s="166"/>
    </row>
    <row r="25" spans="1:5" x14ac:dyDescent="0.25">
      <c r="A25" s="167" t="s">
        <v>265</v>
      </c>
      <c r="B25" s="155" t="s">
        <v>51</v>
      </c>
      <c r="C25" s="155"/>
      <c r="D25" s="155">
        <v>144875</v>
      </c>
      <c r="E25" s="168"/>
    </row>
    <row r="26" spans="1:5" ht="12.75" x14ac:dyDescent="0.25">
      <c r="A26" s="47" t="s">
        <v>285</v>
      </c>
      <c r="B26" s="169">
        <f>SUM(B10,B15,B20,B25)</f>
        <v>269408.33</v>
      </c>
      <c r="C26" s="169">
        <f>SUM(C10,C15,C20,C25)</f>
        <v>529325.89</v>
      </c>
      <c r="D26" s="169">
        <f t="shared" ref="D26:E26" si="0">SUM(D10,D15,D20,D25)</f>
        <v>674200.89</v>
      </c>
      <c r="E26" s="170">
        <f t="shared" si="0"/>
        <v>9200</v>
      </c>
    </row>
    <row r="27" spans="1:5" ht="6.75" customHeight="1" x14ac:dyDescent="0.25"/>
    <row r="28" spans="1:5" ht="12.75" x14ac:dyDescent="0.25">
      <c r="A28" s="783" t="s">
        <v>286</v>
      </c>
      <c r="B28" s="784"/>
      <c r="C28" s="784"/>
      <c r="D28" s="784"/>
      <c r="E28" s="785"/>
    </row>
    <row r="29" spans="1:5" ht="24" x14ac:dyDescent="0.25">
      <c r="A29" s="171" t="s">
        <v>261</v>
      </c>
      <c r="B29" s="152" t="str">
        <f>B4</f>
        <v>Caminhonete 4x4 Cabine Dupla</v>
      </c>
      <c r="C29" s="152" t="str">
        <f t="shared" ref="C29:E29" si="1">C4</f>
        <v>Caminhão Toco com Cabine Suplementar</v>
      </c>
      <c r="D29" s="152" t="str">
        <f t="shared" si="1"/>
        <v>Caminhão Toco com Cabine Suplementar equipado com Guindauto</v>
      </c>
      <c r="E29" s="172" t="str">
        <f t="shared" si="1"/>
        <v>Compactador de Solos</v>
      </c>
    </row>
    <row r="30" spans="1:5" x14ac:dyDescent="0.25">
      <c r="A30" s="185" t="s">
        <v>287</v>
      </c>
      <c r="B30" s="151" t="s">
        <v>288</v>
      </c>
      <c r="C30" s="151" t="s">
        <v>288</v>
      </c>
      <c r="D30" s="151" t="s">
        <v>288</v>
      </c>
      <c r="E30" s="173" t="s">
        <v>288</v>
      </c>
    </row>
    <row r="31" spans="1:5" x14ac:dyDescent="0.25">
      <c r="A31" s="174" t="s">
        <v>289</v>
      </c>
      <c r="B31" s="157">
        <f>B26</f>
        <v>269408.33</v>
      </c>
      <c r="C31" s="157">
        <f t="shared" ref="C31:E31" si="2">C26</f>
        <v>529325.89</v>
      </c>
      <c r="D31" s="157">
        <f t="shared" si="2"/>
        <v>674200.89</v>
      </c>
      <c r="E31" s="175">
        <f t="shared" si="2"/>
        <v>9200</v>
      </c>
    </row>
    <row r="32" spans="1:5" x14ac:dyDescent="0.25">
      <c r="A32" s="174" t="s">
        <v>290</v>
      </c>
      <c r="B32" s="151">
        <v>60</v>
      </c>
      <c r="C32" s="151">
        <v>60</v>
      </c>
      <c r="D32" s="151">
        <v>60</v>
      </c>
      <c r="E32" s="173">
        <v>60</v>
      </c>
    </row>
    <row r="33" spans="1:5" x14ac:dyDescent="0.25">
      <c r="A33" s="174" t="s">
        <v>291</v>
      </c>
      <c r="B33" s="158">
        <v>0.01</v>
      </c>
      <c r="C33" s="158">
        <v>0.01</v>
      </c>
      <c r="D33" s="158">
        <v>0.01</v>
      </c>
      <c r="E33" s="176">
        <v>0.01</v>
      </c>
    </row>
    <row r="34" spans="1:5" x14ac:dyDescent="0.25">
      <c r="A34" s="174" t="s">
        <v>292</v>
      </c>
      <c r="B34" s="159">
        <f>B35*12</f>
        <v>71914.080000000002</v>
      </c>
      <c r="C34" s="159">
        <f t="shared" ref="C34:E34" si="3">C35*12</f>
        <v>141294.72</v>
      </c>
      <c r="D34" s="159">
        <f t="shared" si="3"/>
        <v>179966.76</v>
      </c>
      <c r="E34" s="177">
        <f t="shared" si="3"/>
        <v>2455.8000000000002</v>
      </c>
    </row>
    <row r="35" spans="1:5" x14ac:dyDescent="0.25">
      <c r="A35" s="178" t="s">
        <v>293</v>
      </c>
      <c r="B35" s="179">
        <f>-ROUND((PMT(B33,B32,B31)),2)</f>
        <v>5992.84</v>
      </c>
      <c r="C35" s="179">
        <f>-ROUND((PMT(C33,C32,C31)),2)</f>
        <v>11774.56</v>
      </c>
      <c r="D35" s="179">
        <f>-ROUND((PMT(D33,D32,D31)),2)</f>
        <v>14997.23</v>
      </c>
      <c r="E35" s="311">
        <f>-ROUND((PMT(E33,E32,E31)),2)</f>
        <v>204.65</v>
      </c>
    </row>
    <row r="36" spans="1:5" x14ac:dyDescent="0.25">
      <c r="A36" s="739" t="s">
        <v>294</v>
      </c>
      <c r="B36" s="793"/>
      <c r="C36" s="793"/>
      <c r="D36" s="793"/>
      <c r="E36" s="740"/>
    </row>
    <row r="37" spans="1:5" x14ac:dyDescent="0.25">
      <c r="A37" s="312"/>
      <c r="E37" s="313"/>
    </row>
    <row r="38" spans="1:5" ht="12.75" x14ac:dyDescent="0.25">
      <c r="A38" s="802" t="s">
        <v>295</v>
      </c>
      <c r="B38" s="803"/>
      <c r="C38" s="803"/>
      <c r="D38" s="803"/>
      <c r="E38" s="804"/>
    </row>
    <row r="39" spans="1:5" x14ac:dyDescent="0.25">
      <c r="A39" s="796" t="s">
        <v>296</v>
      </c>
      <c r="B39" s="797"/>
      <c r="C39" s="797"/>
      <c r="D39" s="797"/>
      <c r="E39" s="798"/>
    </row>
    <row r="40" spans="1:5" ht="15" customHeight="1" x14ac:dyDescent="0.25">
      <c r="A40" s="788" t="s">
        <v>297</v>
      </c>
      <c r="B40" s="789"/>
      <c r="C40" s="790" t="s">
        <v>298</v>
      </c>
      <c r="D40" s="790"/>
      <c r="E40" s="791"/>
    </row>
    <row r="41" spans="1:5" ht="15" customHeight="1" x14ac:dyDescent="0.25">
      <c r="A41" s="788" t="s">
        <v>299</v>
      </c>
      <c r="B41" s="789"/>
      <c r="C41" s="789" t="s">
        <v>300</v>
      </c>
      <c r="D41" s="789"/>
      <c r="E41" s="792"/>
    </row>
    <row r="42" spans="1:5" ht="15" customHeight="1" x14ac:dyDescent="0.25">
      <c r="A42" s="788" t="s">
        <v>301</v>
      </c>
      <c r="B42" s="789"/>
      <c r="C42" s="789" t="s">
        <v>302</v>
      </c>
      <c r="D42" s="789"/>
      <c r="E42" s="792"/>
    </row>
    <row r="43" spans="1:5" ht="15" customHeight="1" x14ac:dyDescent="0.25">
      <c r="A43" s="788" t="s">
        <v>303</v>
      </c>
      <c r="B43" s="789"/>
      <c r="C43" s="790" t="s">
        <v>304</v>
      </c>
      <c r="D43" s="790"/>
      <c r="E43" s="791"/>
    </row>
    <row r="44" spans="1:5" ht="15" customHeight="1" x14ac:dyDescent="0.25">
      <c r="A44" s="788" t="s">
        <v>305</v>
      </c>
      <c r="B44" s="789"/>
      <c r="C44" s="789" t="s">
        <v>306</v>
      </c>
      <c r="D44" s="789"/>
      <c r="E44" s="792"/>
    </row>
    <row r="45" spans="1:5" ht="15" customHeight="1" x14ac:dyDescent="0.25">
      <c r="A45" s="788" t="s">
        <v>307</v>
      </c>
      <c r="B45" s="789"/>
      <c r="C45" s="790" t="s">
        <v>308</v>
      </c>
      <c r="D45" s="790"/>
      <c r="E45" s="791"/>
    </row>
    <row r="46" spans="1:5" ht="15" customHeight="1" x14ac:dyDescent="0.25">
      <c r="A46" s="788" t="s">
        <v>309</v>
      </c>
      <c r="B46" s="789"/>
      <c r="C46" s="790" t="s">
        <v>310</v>
      </c>
      <c r="D46" s="790"/>
      <c r="E46" s="791"/>
    </row>
    <row r="47" spans="1:5" ht="15" customHeight="1" x14ac:dyDescent="0.25">
      <c r="A47" s="788" t="s">
        <v>14</v>
      </c>
      <c r="B47" s="789"/>
      <c r="C47" s="789" t="s">
        <v>311</v>
      </c>
      <c r="D47" s="789"/>
      <c r="E47" s="792"/>
    </row>
    <row r="48" spans="1:5" ht="12.75" x14ac:dyDescent="0.25">
      <c r="A48" s="180"/>
      <c r="B48" s="310"/>
      <c r="C48" s="310"/>
      <c r="D48" s="310"/>
      <c r="E48" s="181"/>
    </row>
    <row r="49" spans="1:5" ht="24" x14ac:dyDescent="0.25">
      <c r="A49" s="182" t="s">
        <v>261</v>
      </c>
      <c r="B49" s="160" t="str">
        <f>B29</f>
        <v>Caminhonete 4x4 Cabine Dupla</v>
      </c>
      <c r="C49" s="160" t="str">
        <f>C29</f>
        <v>Caminhão Toco com Cabine Suplementar</v>
      </c>
      <c r="D49" s="160" t="str">
        <f>D29</f>
        <v>Caminhão Toco com Cabine Suplementar equipado com Guindauto</v>
      </c>
      <c r="E49" s="183" t="str">
        <f>E29</f>
        <v>Compactador de Solos</v>
      </c>
    </row>
    <row r="50" spans="1:5" x14ac:dyDescent="0.25">
      <c r="A50" s="186" t="s">
        <v>312</v>
      </c>
      <c r="B50" s="151">
        <v>5</v>
      </c>
      <c r="C50" s="151">
        <v>7</v>
      </c>
      <c r="D50" s="151">
        <v>7</v>
      </c>
      <c r="E50" s="173">
        <v>6</v>
      </c>
    </row>
    <row r="51" spans="1:5" x14ac:dyDescent="0.25">
      <c r="A51" s="186" t="s">
        <v>313</v>
      </c>
      <c r="B51" s="151">
        <v>2000</v>
      </c>
      <c r="C51" s="151">
        <v>2000</v>
      </c>
      <c r="D51" s="151">
        <v>2000</v>
      </c>
      <c r="E51" s="173">
        <v>2000</v>
      </c>
    </row>
    <row r="52" spans="1:5" x14ac:dyDescent="0.25">
      <c r="A52" s="186" t="s">
        <v>314</v>
      </c>
      <c r="B52" s="282">
        <v>0.4</v>
      </c>
      <c r="C52" s="282">
        <v>0.4</v>
      </c>
      <c r="D52" s="282">
        <v>0.4</v>
      </c>
      <c r="E52" s="283">
        <v>0.2</v>
      </c>
    </row>
    <row r="53" spans="1:5" x14ac:dyDescent="0.25">
      <c r="A53" s="186" t="s">
        <v>315</v>
      </c>
      <c r="B53" s="315">
        <v>0.6</v>
      </c>
      <c r="C53" s="315">
        <v>0.9</v>
      </c>
      <c r="D53" s="315">
        <f>0.9</f>
        <v>0.9</v>
      </c>
      <c r="E53" s="316">
        <v>0.8</v>
      </c>
    </row>
    <row r="54" spans="1:5" x14ac:dyDescent="0.25">
      <c r="A54" s="186" t="s">
        <v>316</v>
      </c>
      <c r="B54" s="315">
        <v>0.05</v>
      </c>
      <c r="C54" s="315">
        <v>0.19</v>
      </c>
      <c r="D54" s="315">
        <v>0.19</v>
      </c>
      <c r="E54" s="316">
        <v>0.35</v>
      </c>
    </row>
    <row r="55" spans="1:5" x14ac:dyDescent="0.25">
      <c r="A55" s="186" t="s">
        <v>317</v>
      </c>
      <c r="B55" s="315">
        <f>B54*0.1</f>
        <v>5.000000000000001E-3</v>
      </c>
      <c r="C55" s="315">
        <f t="shared" ref="C55:D55" si="4">C54*0.1</f>
        <v>1.9000000000000003E-2</v>
      </c>
      <c r="D55" s="315">
        <f t="shared" si="4"/>
        <v>1.9000000000000003E-2</v>
      </c>
      <c r="E55" s="316" t="s">
        <v>51</v>
      </c>
    </row>
    <row r="56" spans="1:5" x14ac:dyDescent="0.25">
      <c r="A56" s="186" t="s">
        <v>141</v>
      </c>
      <c r="B56" s="151" t="s">
        <v>318</v>
      </c>
      <c r="C56" s="151" t="s">
        <v>318</v>
      </c>
      <c r="D56" s="151" t="s">
        <v>318</v>
      </c>
      <c r="E56" s="173" t="s">
        <v>318</v>
      </c>
    </row>
    <row r="57" spans="1:5" x14ac:dyDescent="0.25">
      <c r="A57" s="186" t="s">
        <v>140</v>
      </c>
      <c r="B57" s="151" t="s">
        <v>319</v>
      </c>
      <c r="C57" s="151" t="s">
        <v>320</v>
      </c>
      <c r="D57" s="151" t="s">
        <v>320</v>
      </c>
      <c r="E57" s="173" t="s">
        <v>321</v>
      </c>
    </row>
    <row r="58" spans="1:5" x14ac:dyDescent="0.25">
      <c r="A58" s="186" t="s">
        <v>142</v>
      </c>
      <c r="B58" s="281">
        <v>45597</v>
      </c>
      <c r="C58" s="281">
        <v>45597</v>
      </c>
      <c r="D58" s="281">
        <v>45597</v>
      </c>
      <c r="E58" s="281">
        <v>45597</v>
      </c>
    </row>
    <row r="59" spans="1:5" x14ac:dyDescent="0.25">
      <c r="A59" s="289" t="s">
        <v>322</v>
      </c>
      <c r="B59" s="157">
        <f>(B50+1)*B26/(2*B50)</f>
        <v>161644.99799999999</v>
      </c>
      <c r="C59" s="157">
        <f>(C50+1)*C26/(2*C50)</f>
        <v>302471.93714285718</v>
      </c>
      <c r="D59" s="157">
        <f>(D50+1)*D26/(2*D50)</f>
        <v>385257.65142857144</v>
      </c>
      <c r="E59" s="175">
        <f>(E50+1)*E26/(2*E50)</f>
        <v>5366.666666666667</v>
      </c>
    </row>
    <row r="60" spans="1:5" x14ac:dyDescent="0.25">
      <c r="A60" s="186" t="s">
        <v>297</v>
      </c>
      <c r="B60" s="157">
        <f>(B26-B52)/(B50*B51*1.25)</f>
        <v>21.552634399999999</v>
      </c>
      <c r="C60" s="157">
        <f>(C26-C52)/(C50*C51*1.25)</f>
        <v>30.247170857142855</v>
      </c>
      <c r="D60" s="157">
        <f>(D26-D52)/(D50*D51*1.25)</f>
        <v>38.525742285714287</v>
      </c>
      <c r="E60" s="175">
        <f>(E26-E52)/(E50*E51*1.25)</f>
        <v>0.61331999999999998</v>
      </c>
    </row>
    <row r="61" spans="1:5" x14ac:dyDescent="0.25">
      <c r="A61" s="289" t="s">
        <v>299</v>
      </c>
      <c r="B61" s="157">
        <f>(B59*3.1501%)/(B51*1.25)</f>
        <v>2.0367916327991997</v>
      </c>
      <c r="C61" s="157">
        <f>(C59*3.1501%)/(C51*1.25)</f>
        <v>3.8112673967748574</v>
      </c>
      <c r="D61" s="157">
        <f>(D59*3.1501%)/(D51*1.25)</f>
        <v>4.8544005110605717</v>
      </c>
      <c r="E61" s="175">
        <f>(E59*3.1501%)/(E51*1.25)</f>
        <v>6.7622146666666674E-2</v>
      </c>
    </row>
    <row r="62" spans="1:5" x14ac:dyDescent="0.25">
      <c r="A62" s="289" t="s">
        <v>301</v>
      </c>
      <c r="B62" s="157">
        <f>(B50+1)*B26*0.025/(2*B50*B51*1.25)</f>
        <v>1.6164499800000003</v>
      </c>
      <c r="C62" s="157">
        <f>(C50+1)*C26*0.025/(2*C50*C51*1.25)</f>
        <v>3.0247193714285721</v>
      </c>
      <c r="D62" s="157">
        <f>(D50+1)*D26*0.025/(2*D50*D51*1.25)</f>
        <v>3.8525765142857149</v>
      </c>
      <c r="E62" s="175">
        <f>(E50+1)*E26*0.025/(2*E50*E51*1.25)</f>
        <v>5.3666666666666668E-2</v>
      </c>
    </row>
    <row r="63" spans="1:5" x14ac:dyDescent="0.25">
      <c r="A63" s="289" t="s">
        <v>303</v>
      </c>
      <c r="B63" s="157">
        <f>(B26*B53)/(B51*B50)</f>
        <v>16.164499799999998</v>
      </c>
      <c r="C63" s="157">
        <f>(C26*C53)/(C51*C50)</f>
        <v>34.028092928571432</v>
      </c>
      <c r="D63" s="157">
        <f>(D26*D53)/(D51*D50)</f>
        <v>43.341485785714283</v>
      </c>
      <c r="E63" s="175">
        <f>(E26*E53)/(E51*E50)</f>
        <v>0.61333333333333329</v>
      </c>
    </row>
    <row r="64" spans="1:5" ht="24" x14ac:dyDescent="0.25">
      <c r="A64" s="186" t="s">
        <v>323</v>
      </c>
      <c r="B64" s="157" t="e">
        <f>(160/1.3587)*B55*'DESPESAS DIVERSAS II'!#REF!</f>
        <v>#REF!</v>
      </c>
      <c r="C64" s="157" t="e">
        <f>(175/1.3587)*C55*'DESPESAS DIVERSAS II'!#REF!</f>
        <v>#REF!</v>
      </c>
      <c r="D64" s="157" t="e">
        <f>(175/1.3587)*D55*'DESPESAS DIVERSAS II'!#REF!</f>
        <v>#REF!</v>
      </c>
      <c r="E64" s="175" t="e">
        <f>2.24*E54*'DESPESAS DIVERSAS II'!#REF!</f>
        <v>#REF!</v>
      </c>
    </row>
    <row r="65" spans="1:7" x14ac:dyDescent="0.25">
      <c r="A65" s="186" t="s">
        <v>307</v>
      </c>
      <c r="B65" s="157" t="e">
        <f>B60+B61+B62+B63+B64</f>
        <v>#REF!</v>
      </c>
      <c r="C65" s="157" t="e">
        <f>C60+C61+C62+C63+C64</f>
        <v>#REF!</v>
      </c>
      <c r="D65" s="157" t="e">
        <f>D60+D61+D62+D63+D64</f>
        <v>#REF!</v>
      </c>
      <c r="E65" s="175" t="e">
        <f>E60+E61+E62+E63+E64</f>
        <v>#REF!</v>
      </c>
    </row>
    <row r="66" spans="1:7" x14ac:dyDescent="0.25">
      <c r="A66" s="186" t="s">
        <v>309</v>
      </c>
      <c r="B66" s="157">
        <f>B60+B61+B62</f>
        <v>25.205876012799198</v>
      </c>
      <c r="C66" s="157">
        <f>C60+C61+C62</f>
        <v>37.083157625346288</v>
      </c>
      <c r="D66" s="157">
        <f>D60+D61+D62</f>
        <v>47.232719311060578</v>
      </c>
      <c r="E66" s="175">
        <f>E60+E61+E62</f>
        <v>0.73460881333333328</v>
      </c>
    </row>
    <row r="67" spans="1:7" ht="12.75" x14ac:dyDescent="0.25">
      <c r="A67" s="187" t="s">
        <v>14</v>
      </c>
      <c r="B67" s="169" t="e">
        <f>ROUND((B65*166.66+B66*33.33),2)</f>
        <v>#REF!</v>
      </c>
      <c r="C67" s="169" t="e">
        <f>ROUND((C65*166.66+C66*33.33),2)</f>
        <v>#REF!</v>
      </c>
      <c r="D67" s="169" t="e">
        <f>ROUND((D65*166.66+D66*33.33),2)</f>
        <v>#REF!</v>
      </c>
      <c r="E67" s="170" t="e">
        <f>ROUND((E65*166.66+E66*33.33),2)</f>
        <v>#REF!</v>
      </c>
    </row>
    <row r="68" spans="1:7" ht="38.25" customHeight="1" x14ac:dyDescent="0.25">
      <c r="A68" s="793" t="s">
        <v>324</v>
      </c>
      <c r="B68" s="793"/>
      <c r="C68" s="793"/>
      <c r="D68" s="793"/>
      <c r="E68" s="793"/>
    </row>
    <row r="70" spans="1:7" ht="12.75" x14ac:dyDescent="0.25">
      <c r="A70" s="783" t="s">
        <v>325</v>
      </c>
      <c r="B70" s="784"/>
      <c r="C70" s="784"/>
      <c r="D70" s="784"/>
      <c r="E70" s="785"/>
    </row>
    <row r="71" spans="1:7" ht="25.5" x14ac:dyDescent="0.25">
      <c r="A71" s="184" t="s">
        <v>261</v>
      </c>
      <c r="B71" s="162" t="str">
        <f>B49</f>
        <v>Caminhonete 4x4 Cabine Dupla</v>
      </c>
      <c r="C71" s="162" t="str">
        <f t="shared" ref="C71:D71" si="5">C49</f>
        <v>Caminhão Toco com Cabine Suplementar</v>
      </c>
      <c r="D71" s="162" t="str">
        <f t="shared" si="5"/>
        <v>Caminhão Toco com Cabine Suplementar equipado com Guindauto</v>
      </c>
      <c r="E71" s="135" t="str">
        <f>E49</f>
        <v>Compactador de Solos</v>
      </c>
    </row>
    <row r="72" spans="1:7" x14ac:dyDescent="0.25">
      <c r="A72" s="186" t="s">
        <v>326</v>
      </c>
      <c r="B72" s="159">
        <f>B35</f>
        <v>5992.84</v>
      </c>
      <c r="C72" s="376">
        <f>C35</f>
        <v>11774.56</v>
      </c>
      <c r="D72" s="376">
        <f>D35</f>
        <v>14997.23</v>
      </c>
      <c r="E72" s="177">
        <f>E35</f>
        <v>204.65</v>
      </c>
    </row>
    <row r="73" spans="1:7" x14ac:dyDescent="0.25">
      <c r="A73" s="186" t="s">
        <v>327</v>
      </c>
      <c r="B73" s="157" t="e">
        <f>B67</f>
        <v>#REF!</v>
      </c>
      <c r="C73" s="377" t="e">
        <f>C67</f>
        <v>#REF!</v>
      </c>
      <c r="D73" s="377" t="e">
        <f t="shared" ref="D73" si="6">D67</f>
        <v>#REF!</v>
      </c>
      <c r="E73" s="175" t="e">
        <f>E67</f>
        <v>#REF!</v>
      </c>
      <c r="G73" s="370"/>
    </row>
    <row r="74" spans="1:7" x14ac:dyDescent="0.25">
      <c r="A74" s="186" t="s">
        <v>328</v>
      </c>
      <c r="B74" s="157">
        <v>6415.17</v>
      </c>
      <c r="C74" s="157">
        <v>10115.48</v>
      </c>
      <c r="D74" s="157">
        <v>17077.53</v>
      </c>
      <c r="E74" s="175">
        <v>212.53</v>
      </c>
    </row>
    <row r="75" spans="1:7" x14ac:dyDescent="0.25">
      <c r="A75" s="186" t="s">
        <v>329</v>
      </c>
      <c r="B75" s="157">
        <v>6335.02</v>
      </c>
      <c r="C75" s="157">
        <v>9989.1</v>
      </c>
      <c r="D75" s="157">
        <v>17152.669999999998</v>
      </c>
      <c r="E75" s="175">
        <v>215.22</v>
      </c>
    </row>
    <row r="76" spans="1:7" ht="15" x14ac:dyDescent="0.25">
      <c r="A76" s="375" t="s">
        <v>330</v>
      </c>
      <c r="B76" s="157" t="s">
        <v>331</v>
      </c>
      <c r="C76" s="157">
        <v>6872.96</v>
      </c>
      <c r="D76" s="157">
        <v>17077.900000000001</v>
      </c>
      <c r="E76" s="175" t="s">
        <v>331</v>
      </c>
    </row>
    <row r="77" spans="1:7" x14ac:dyDescent="0.25">
      <c r="A77" s="308" t="s">
        <v>332</v>
      </c>
      <c r="B77" s="309" t="e">
        <f>ROUND((AVERAGE(B72:B75)),2)</f>
        <v>#REF!</v>
      </c>
      <c r="C77" s="309" t="e">
        <f>ROUND((AVERAGE(C72:C76)),2)</f>
        <v>#REF!</v>
      </c>
      <c r="D77" s="309" t="e">
        <f>ROUND((AVERAGE(D72:D76)),2)</f>
        <v>#REF!</v>
      </c>
      <c r="E77" s="374">
        <f>ROUND((AVERAGE(E72,E75,E74)),2)</f>
        <v>210.8</v>
      </c>
    </row>
    <row r="78" spans="1:7" x14ac:dyDescent="0.25">
      <c r="A78" s="186" t="s">
        <v>266</v>
      </c>
      <c r="B78" s="285">
        <f>'FATOR K'!K19</f>
        <v>1</v>
      </c>
      <c r="C78" s="285">
        <f>'FATOR K'!K19</f>
        <v>1</v>
      </c>
      <c r="D78" s="285">
        <f>'FATOR K'!K19</f>
        <v>1</v>
      </c>
      <c r="E78" s="286">
        <f>'FATOR K'!K19</f>
        <v>1</v>
      </c>
      <c r="G78" s="314"/>
    </row>
    <row r="79" spans="1:7" ht="12.75" x14ac:dyDescent="0.25">
      <c r="A79" s="187" t="s">
        <v>229</v>
      </c>
      <c r="B79" s="169" t="e">
        <f>B77*B78</f>
        <v>#REF!</v>
      </c>
      <c r="C79" s="169" t="e">
        <f>C77*C78</f>
        <v>#REF!</v>
      </c>
      <c r="D79" s="169" t="e">
        <f>D77*D78</f>
        <v>#REF!</v>
      </c>
      <c r="E79" s="170">
        <f>E77*E78</f>
        <v>210.8</v>
      </c>
    </row>
    <row r="80" spans="1:7" x14ac:dyDescent="0.25">
      <c r="A80" s="794" t="s">
        <v>333</v>
      </c>
      <c r="B80" s="794"/>
      <c r="C80" s="794"/>
      <c r="D80" s="794"/>
      <c r="E80" s="794"/>
    </row>
    <row r="81" spans="1:5" x14ac:dyDescent="0.25">
      <c r="A81" s="795" t="s">
        <v>334</v>
      </c>
      <c r="B81" s="795"/>
      <c r="C81" s="795"/>
      <c r="D81" s="795"/>
      <c r="E81" s="795"/>
    </row>
    <row r="83" spans="1:5" x14ac:dyDescent="0.25">
      <c r="A83" s="787" t="s">
        <v>335</v>
      </c>
      <c r="B83" s="787"/>
      <c r="C83" s="787"/>
      <c r="D83" s="787"/>
      <c r="E83" s="787"/>
    </row>
    <row r="84" spans="1:5" ht="12" customHeight="1" x14ac:dyDescent="0.25">
      <c r="A84" s="787" t="s">
        <v>336</v>
      </c>
      <c r="B84" s="787"/>
      <c r="C84" s="787"/>
      <c r="D84" s="787"/>
      <c r="E84" s="787"/>
    </row>
    <row r="85" spans="1:5" x14ac:dyDescent="0.25">
      <c r="A85" s="787" t="s">
        <v>337</v>
      </c>
      <c r="B85" s="787"/>
      <c r="C85" s="787"/>
      <c r="D85" s="787"/>
      <c r="E85" s="787"/>
    </row>
    <row r="86" spans="1:5" x14ac:dyDescent="0.25">
      <c r="A86" s="787" t="s">
        <v>338</v>
      </c>
      <c r="B86" s="787"/>
      <c r="C86" s="787"/>
      <c r="D86" s="787"/>
      <c r="E86" s="787"/>
    </row>
  </sheetData>
  <mergeCells count="30">
    <mergeCell ref="A39:E39"/>
    <mergeCell ref="A1:E1"/>
    <mergeCell ref="A3:E3"/>
    <mergeCell ref="A28:E28"/>
    <mergeCell ref="A36:E36"/>
    <mergeCell ref="A38:E38"/>
    <mergeCell ref="A40:B40"/>
    <mergeCell ref="C40:E40"/>
    <mergeCell ref="A41:B41"/>
    <mergeCell ref="C41:E41"/>
    <mergeCell ref="A42:B42"/>
    <mergeCell ref="C42:E42"/>
    <mergeCell ref="A43:B43"/>
    <mergeCell ref="C43:E43"/>
    <mergeCell ref="A44:B44"/>
    <mergeCell ref="C44:E44"/>
    <mergeCell ref="A45:B45"/>
    <mergeCell ref="C45:E45"/>
    <mergeCell ref="A86:E86"/>
    <mergeCell ref="A46:B46"/>
    <mergeCell ref="C46:E46"/>
    <mergeCell ref="A47:B47"/>
    <mergeCell ref="C47:E47"/>
    <mergeCell ref="A68:E68"/>
    <mergeCell ref="A70:E70"/>
    <mergeCell ref="A80:E80"/>
    <mergeCell ref="A81:E81"/>
    <mergeCell ref="A83:E83"/>
    <mergeCell ref="A84:E84"/>
    <mergeCell ref="A85:E85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landscape" horizontalDpi="1200" verticalDpi="1200" r:id="rId1"/>
  <headerFooter>
    <oddFooter>Página &amp;P de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CAB0F-97B9-4B30-8E75-D6AFB83B76F3}">
  <dimension ref="A1:H8"/>
  <sheetViews>
    <sheetView topLeftCell="C1" workbookViewId="0">
      <selection activeCell="H9" sqref="H9"/>
    </sheetView>
  </sheetViews>
  <sheetFormatPr defaultColWidth="9.140625" defaultRowHeight="12.75" x14ac:dyDescent="0.2"/>
  <cols>
    <col min="1" max="1" width="4.85546875" style="130" bestFit="1" customWidth="1"/>
    <col min="2" max="2" width="9.140625" style="130" bestFit="1" customWidth="1"/>
    <col min="3" max="3" width="12.85546875" style="130" bestFit="1" customWidth="1"/>
    <col min="4" max="4" width="10.28515625" style="130" bestFit="1" customWidth="1"/>
    <col min="5" max="5" width="67" style="130" customWidth="1"/>
    <col min="6" max="6" width="10.42578125" style="130" bestFit="1" customWidth="1"/>
    <col min="7" max="7" width="9" style="130" bestFit="1" customWidth="1"/>
    <col min="8" max="8" width="11.7109375" style="130" bestFit="1" customWidth="1"/>
    <col min="9" max="16384" width="9.140625" style="130"/>
  </cols>
  <sheetData>
    <row r="1" spans="1:8" ht="16.5" thickBot="1" x14ac:dyDescent="0.3">
      <c r="A1" s="635" t="s">
        <v>349</v>
      </c>
      <c r="B1" s="636"/>
      <c r="C1" s="636"/>
      <c r="D1" s="636"/>
      <c r="E1" s="636"/>
      <c r="F1" s="636"/>
      <c r="G1" s="636"/>
      <c r="H1" s="637"/>
    </row>
    <row r="3" spans="1:8" ht="14.25" customHeight="1" thickBot="1" x14ac:dyDescent="0.25">
      <c r="A3" s="136"/>
      <c r="B3" s="136"/>
      <c r="C3" s="136"/>
      <c r="D3" s="136"/>
      <c r="E3" s="136"/>
      <c r="F3" s="136"/>
      <c r="G3" s="136"/>
      <c r="H3" s="136"/>
    </row>
    <row r="4" spans="1:8" x14ac:dyDescent="0.2">
      <c r="A4" s="754" t="s">
        <v>350</v>
      </c>
      <c r="B4" s="755"/>
      <c r="C4" s="755"/>
      <c r="D4" s="755"/>
      <c r="E4" s="755"/>
      <c r="F4" s="755"/>
      <c r="G4" s="755"/>
      <c r="H4" s="756"/>
    </row>
    <row r="5" spans="1:8" ht="24" x14ac:dyDescent="0.2">
      <c r="A5" s="145" t="s">
        <v>6</v>
      </c>
      <c r="B5" s="189" t="s">
        <v>7</v>
      </c>
      <c r="C5" s="189" t="s">
        <v>8</v>
      </c>
      <c r="D5" s="189" t="s">
        <v>9</v>
      </c>
      <c r="E5" s="189" t="s">
        <v>10</v>
      </c>
      <c r="F5" s="152" t="s">
        <v>351</v>
      </c>
      <c r="G5" s="189" t="s">
        <v>352</v>
      </c>
      <c r="H5" s="146" t="s">
        <v>353</v>
      </c>
    </row>
    <row r="6" spans="1:8" x14ac:dyDescent="0.2">
      <c r="A6" s="268" t="s">
        <v>58</v>
      </c>
      <c r="B6" s="460"/>
      <c r="C6" s="460"/>
      <c r="D6" s="461"/>
      <c r="E6" s="188" t="s">
        <v>59</v>
      </c>
      <c r="F6" s="465">
        <v>0</v>
      </c>
      <c r="G6" s="589"/>
      <c r="H6" s="284">
        <f>ROUND((F6*G6),2)</f>
        <v>0</v>
      </c>
    </row>
    <row r="7" spans="1:8" ht="51" customHeight="1" x14ac:dyDescent="0.2">
      <c r="A7" s="268" t="s">
        <v>86</v>
      </c>
      <c r="B7" s="460"/>
      <c r="C7" s="460"/>
      <c r="D7" s="461"/>
      <c r="E7" s="188" t="s">
        <v>354</v>
      </c>
      <c r="F7" s="465">
        <v>0</v>
      </c>
      <c r="G7" s="589"/>
      <c r="H7" s="284">
        <f>ROUND((F7*G7),2)</f>
        <v>0</v>
      </c>
    </row>
    <row r="8" spans="1:8" ht="21.6" customHeight="1" x14ac:dyDescent="0.2">
      <c r="A8" s="269" t="s">
        <v>148</v>
      </c>
      <c r="B8" s="462"/>
      <c r="C8" s="463"/>
      <c r="D8" s="464"/>
      <c r="E8" s="410" t="s">
        <v>65</v>
      </c>
      <c r="F8" s="466">
        <v>0</v>
      </c>
      <c r="G8" s="590"/>
      <c r="H8" s="364">
        <f>ROUND((F8*G8),2)</f>
        <v>0</v>
      </c>
    </row>
  </sheetData>
  <mergeCells count="2">
    <mergeCell ref="A4:H4"/>
    <mergeCell ref="A1:H1"/>
  </mergeCells>
  <phoneticPr fontId="2" type="noConversion"/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  <headerFooter>
    <oddFooter>Página &amp;P de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DE3D2-1E5E-4B73-9324-4D011E4BCCCB}">
  <sheetPr>
    <tabColor theme="2" tint="-0.249977111117893"/>
    <pageSetUpPr fitToPage="1"/>
  </sheetPr>
  <dimension ref="A1:K47"/>
  <sheetViews>
    <sheetView workbookViewId="0">
      <selection activeCell="J11" sqref="J11"/>
    </sheetView>
  </sheetViews>
  <sheetFormatPr defaultColWidth="8.85546875" defaultRowHeight="15" x14ac:dyDescent="0.25"/>
  <cols>
    <col min="1" max="1" width="8.28515625" style="191" customWidth="1"/>
    <col min="2" max="2" width="38.42578125" style="191" customWidth="1"/>
    <col min="3" max="3" width="6.28515625" style="202" customWidth="1"/>
    <col min="4" max="4" width="5.7109375" style="203" customWidth="1"/>
    <col min="5" max="5" width="12.28515625" style="191" customWidth="1"/>
    <col min="6" max="6" width="11.28515625" style="191" customWidth="1"/>
    <col min="7" max="7" width="13.140625" style="191" bestFit="1" customWidth="1"/>
    <col min="8" max="8" width="9.42578125" style="191" bestFit="1" customWidth="1"/>
    <col min="9" max="9" width="8.42578125" style="191" bestFit="1" customWidth="1"/>
    <col min="10" max="10" width="6.7109375" style="191" bestFit="1" customWidth="1"/>
    <col min="11" max="11" width="8.42578125" style="191" bestFit="1" customWidth="1"/>
    <col min="12" max="16384" width="8.85546875" style="191"/>
  </cols>
  <sheetData>
    <row r="1" spans="1:11" s="190" customFormat="1" ht="16.5" thickBot="1" x14ac:dyDescent="0.3">
      <c r="A1" s="805" t="s">
        <v>355</v>
      </c>
      <c r="B1" s="806"/>
      <c r="C1" s="806"/>
      <c r="D1" s="806"/>
      <c r="E1" s="806"/>
      <c r="F1" s="806"/>
      <c r="G1" s="806"/>
      <c r="H1" s="806"/>
      <c r="I1" s="806"/>
      <c r="J1" s="806"/>
      <c r="K1" s="807"/>
    </row>
    <row r="2" spans="1:11" ht="15.75" thickBot="1" x14ac:dyDescent="0.25">
      <c r="A2" s="192"/>
      <c r="B2" s="192"/>
      <c r="C2" s="193"/>
      <c r="D2" s="194"/>
      <c r="E2" s="194"/>
      <c r="F2" s="195"/>
      <c r="G2" s="195"/>
    </row>
    <row r="3" spans="1:11" x14ac:dyDescent="0.25">
      <c r="A3" s="843" t="s">
        <v>356</v>
      </c>
      <c r="B3" s="844"/>
      <c r="C3" s="844"/>
      <c r="D3" s="844"/>
      <c r="E3" s="844"/>
      <c r="F3" s="844"/>
      <c r="G3" s="844"/>
      <c r="H3" s="844"/>
      <c r="I3" s="844"/>
      <c r="J3" s="844"/>
      <c r="K3" s="845"/>
    </row>
    <row r="4" spans="1:11" x14ac:dyDescent="0.2">
      <c r="A4" s="212" t="s">
        <v>357</v>
      </c>
      <c r="B4" s="213"/>
      <c r="C4" s="213"/>
      <c r="D4" s="214"/>
      <c r="E4" s="215"/>
      <c r="F4" s="216"/>
      <c r="G4" s="217"/>
      <c r="H4" s="217"/>
      <c r="I4" s="217"/>
      <c r="J4" s="218"/>
      <c r="K4" s="467">
        <v>0</v>
      </c>
    </row>
    <row r="5" spans="1:11" x14ac:dyDescent="0.2">
      <c r="A5" s="212" t="s">
        <v>358</v>
      </c>
      <c r="B5" s="213"/>
      <c r="C5" s="213"/>
      <c r="D5" s="214"/>
      <c r="E5" s="215"/>
      <c r="F5" s="216"/>
      <c r="G5" s="217"/>
      <c r="H5" s="217"/>
      <c r="I5" s="217"/>
      <c r="J5" s="218"/>
      <c r="K5" s="467">
        <v>0</v>
      </c>
    </row>
    <row r="6" spans="1:11" x14ac:dyDescent="0.2">
      <c r="A6" s="212" t="s">
        <v>359</v>
      </c>
      <c r="B6" s="213"/>
      <c r="C6" s="213"/>
      <c r="D6" s="214"/>
      <c r="E6" s="215"/>
      <c r="F6" s="216"/>
      <c r="G6" s="217"/>
      <c r="H6" s="217"/>
      <c r="I6" s="217"/>
      <c r="J6" s="218"/>
      <c r="K6" s="219">
        <f>K4+K5</f>
        <v>0</v>
      </c>
    </row>
    <row r="7" spans="1:11" x14ac:dyDescent="0.2">
      <c r="A7" s="212" t="s">
        <v>360</v>
      </c>
      <c r="B7" s="213"/>
      <c r="C7" s="213"/>
      <c r="D7" s="214"/>
      <c r="E7" s="215"/>
      <c r="F7" s="216"/>
      <c r="G7" s="217"/>
      <c r="H7" s="217"/>
      <c r="I7" s="217"/>
      <c r="J7" s="218"/>
      <c r="K7" s="467">
        <v>0</v>
      </c>
    </row>
    <row r="8" spans="1:11" x14ac:dyDescent="0.2">
      <c r="A8" s="220" t="s">
        <v>361</v>
      </c>
      <c r="B8" s="221"/>
      <c r="C8" s="221"/>
      <c r="D8" s="214"/>
      <c r="E8" s="221"/>
      <c r="F8" s="216"/>
      <c r="G8" s="217"/>
      <c r="H8" s="217"/>
      <c r="I8" s="217"/>
      <c r="J8" s="218"/>
      <c r="K8" s="467">
        <v>0</v>
      </c>
    </row>
    <row r="9" spans="1:11" x14ac:dyDescent="0.2">
      <c r="A9" s="220" t="s">
        <v>362</v>
      </c>
      <c r="B9" s="221"/>
      <c r="C9" s="221"/>
      <c r="D9" s="214"/>
      <c r="E9" s="221"/>
      <c r="F9" s="216"/>
      <c r="G9" s="217"/>
      <c r="H9" s="217"/>
      <c r="I9" s="217"/>
      <c r="J9" s="218"/>
      <c r="K9" s="467">
        <v>0</v>
      </c>
    </row>
    <row r="10" spans="1:11" x14ac:dyDescent="0.2">
      <c r="A10" s="220" t="s">
        <v>363</v>
      </c>
      <c r="B10" s="221"/>
      <c r="C10" s="221"/>
      <c r="D10" s="214"/>
      <c r="E10" s="221"/>
      <c r="F10" s="216"/>
      <c r="G10" s="217"/>
      <c r="H10" s="217"/>
      <c r="I10" s="217"/>
      <c r="J10" s="218"/>
      <c r="K10" s="219">
        <f>J11/(1-J11)</f>
        <v>0</v>
      </c>
    </row>
    <row r="11" spans="1:11" x14ac:dyDescent="0.2">
      <c r="A11" s="222" t="s">
        <v>224</v>
      </c>
      <c r="B11" s="223"/>
      <c r="C11" s="223"/>
      <c r="D11" s="214"/>
      <c r="E11" s="217"/>
      <c r="F11" s="216"/>
      <c r="G11" s="224"/>
      <c r="H11" s="217"/>
      <c r="I11" s="218"/>
      <c r="J11" s="225">
        <f>J12+J13+J14</f>
        <v>0</v>
      </c>
      <c r="K11" s="226"/>
    </row>
    <row r="12" spans="1:11" x14ac:dyDescent="0.2">
      <c r="A12" s="212" t="s">
        <v>225</v>
      </c>
      <c r="B12" s="213"/>
      <c r="C12" s="221"/>
      <c r="D12" s="214"/>
      <c r="E12" s="217"/>
      <c r="F12" s="216"/>
      <c r="G12" s="227"/>
      <c r="H12" s="217"/>
      <c r="I12" s="218"/>
      <c r="J12" s="468">
        <v>0</v>
      </c>
      <c r="K12" s="228"/>
    </row>
    <row r="13" spans="1:11" x14ac:dyDescent="0.2">
      <c r="A13" s="212" t="s">
        <v>226</v>
      </c>
      <c r="B13" s="213"/>
      <c r="C13" s="221"/>
      <c r="D13" s="214"/>
      <c r="E13" s="217"/>
      <c r="F13" s="216"/>
      <c r="G13" s="227"/>
      <c r="H13" s="217"/>
      <c r="I13" s="218"/>
      <c r="J13" s="468"/>
      <c r="K13" s="228"/>
    </row>
    <row r="14" spans="1:11" x14ac:dyDescent="0.2">
      <c r="A14" s="212" t="s">
        <v>227</v>
      </c>
      <c r="B14" s="213"/>
      <c r="C14" s="221"/>
      <c r="D14" s="214"/>
      <c r="E14" s="217"/>
      <c r="F14" s="216"/>
      <c r="G14" s="227"/>
      <c r="H14" s="217"/>
      <c r="I14" s="218"/>
      <c r="J14" s="468"/>
      <c r="K14" s="229"/>
    </row>
    <row r="15" spans="1:11" x14ac:dyDescent="0.2">
      <c r="A15" s="204"/>
      <c r="B15" s="205"/>
      <c r="C15" s="206"/>
      <c r="D15" s="207"/>
      <c r="E15" s="208"/>
      <c r="F15" s="209"/>
      <c r="G15" s="210"/>
      <c r="K15" s="211"/>
    </row>
    <row r="16" spans="1:11" x14ac:dyDescent="0.25">
      <c r="A16" s="230" t="s">
        <v>364</v>
      </c>
      <c r="B16" s="231" t="s">
        <v>365</v>
      </c>
      <c r="C16" s="842" t="s">
        <v>366</v>
      </c>
      <c r="D16" s="842"/>
      <c r="E16" s="842"/>
      <c r="F16" s="842"/>
      <c r="G16" s="842"/>
      <c r="H16" s="842"/>
      <c r="I16" s="842"/>
      <c r="J16" s="842"/>
      <c r="K16" s="232">
        <f>(1+K6+K8)*(1+K9)*(1+K10)</f>
        <v>1</v>
      </c>
    </row>
    <row r="17" spans="1:11" x14ac:dyDescent="0.25">
      <c r="A17" s="230" t="s">
        <v>367</v>
      </c>
      <c r="B17" s="231" t="s">
        <v>368</v>
      </c>
      <c r="C17" s="842" t="s">
        <v>369</v>
      </c>
      <c r="D17" s="842"/>
      <c r="E17" s="842"/>
      <c r="F17" s="842"/>
      <c r="G17" s="842"/>
      <c r="H17" s="842"/>
      <c r="I17" s="842"/>
      <c r="J17" s="842"/>
      <c r="K17" s="232">
        <f>ROUND(((1+K7+K8)*(1+K9)*(1+K10)),2)</f>
        <v>1</v>
      </c>
    </row>
    <row r="18" spans="1:11" x14ac:dyDescent="0.25">
      <c r="A18" s="230" t="s">
        <v>370</v>
      </c>
      <c r="B18" s="231" t="s">
        <v>371</v>
      </c>
      <c r="C18" s="842" t="s">
        <v>372</v>
      </c>
      <c r="D18" s="842"/>
      <c r="E18" s="842"/>
      <c r="F18" s="842"/>
      <c r="G18" s="842"/>
      <c r="H18" s="842"/>
      <c r="I18" s="842"/>
      <c r="J18" s="842"/>
      <c r="K18" s="232">
        <f>ROUND(((1+K8)*(1+K9)*(1+K10)),2)</f>
        <v>1</v>
      </c>
    </row>
    <row r="19" spans="1:11" ht="15.75" thickBot="1" x14ac:dyDescent="0.3">
      <c r="A19" s="233" t="s">
        <v>373</v>
      </c>
      <c r="B19" s="234" t="s">
        <v>374</v>
      </c>
      <c r="C19" s="846" t="s">
        <v>375</v>
      </c>
      <c r="D19" s="846"/>
      <c r="E19" s="846"/>
      <c r="F19" s="846"/>
      <c r="G19" s="846"/>
      <c r="H19" s="846"/>
      <c r="I19" s="846"/>
      <c r="J19" s="846"/>
      <c r="K19" s="235">
        <f>ROUND(((1+K9)*(1+K10)),2)</f>
        <v>1</v>
      </c>
    </row>
    <row r="20" spans="1:11" x14ac:dyDescent="0.25">
      <c r="A20" s="832" t="s">
        <v>376</v>
      </c>
      <c r="B20" s="832"/>
      <c r="C20" s="832"/>
      <c r="D20" s="832"/>
      <c r="E20" s="832"/>
      <c r="F20" s="832"/>
      <c r="G20" s="832"/>
      <c r="H20" s="832"/>
      <c r="I20" s="832"/>
      <c r="J20" s="832"/>
      <c r="K20" s="832"/>
    </row>
    <row r="21" spans="1:11" ht="108" customHeight="1" thickBot="1" x14ac:dyDescent="0.3">
      <c r="A21" s="196"/>
      <c r="B21" s="192"/>
      <c r="C21" s="197"/>
      <c r="D21" s="198"/>
      <c r="E21" s="199"/>
      <c r="F21" s="200"/>
      <c r="G21" s="201"/>
    </row>
    <row r="22" spans="1:11" x14ac:dyDescent="0.25">
      <c r="A22" s="833" t="s">
        <v>377</v>
      </c>
      <c r="B22" s="834"/>
      <c r="C22" s="834"/>
      <c r="D22" s="834"/>
      <c r="E22" s="834"/>
      <c r="F22" s="834"/>
      <c r="G22" s="834"/>
      <c r="H22" s="834"/>
      <c r="I22" s="834"/>
      <c r="J22" s="834"/>
      <c r="K22" s="835"/>
    </row>
    <row r="23" spans="1:11" x14ac:dyDescent="0.25">
      <c r="A23" s="836"/>
      <c r="B23" s="837"/>
      <c r="C23" s="837"/>
      <c r="D23" s="837"/>
      <c r="E23" s="837"/>
      <c r="F23" s="837"/>
      <c r="G23" s="837"/>
      <c r="K23" s="211"/>
    </row>
    <row r="24" spans="1:11" x14ac:dyDescent="0.25">
      <c r="A24" s="838" t="s">
        <v>378</v>
      </c>
      <c r="B24" s="839"/>
      <c r="C24" s="839"/>
      <c r="D24" s="839"/>
      <c r="E24" s="839"/>
      <c r="F24" s="839"/>
      <c r="G24" s="839"/>
      <c r="H24" s="839"/>
      <c r="I24" s="839"/>
      <c r="J24" s="840" t="s">
        <v>379</v>
      </c>
      <c r="K24" s="841"/>
    </row>
    <row r="25" spans="1:11" x14ac:dyDescent="0.25">
      <c r="A25" s="809" t="s">
        <v>380</v>
      </c>
      <c r="B25" s="810"/>
      <c r="C25" s="810"/>
      <c r="D25" s="810"/>
      <c r="E25" s="810"/>
      <c r="F25" s="810"/>
      <c r="G25" s="810"/>
      <c r="H25" s="810"/>
      <c r="I25" s="810"/>
      <c r="J25" s="828" t="s">
        <v>381</v>
      </c>
      <c r="K25" s="829"/>
    </row>
    <row r="26" spans="1:11" x14ac:dyDescent="0.25">
      <c r="A26" s="809" t="s">
        <v>382</v>
      </c>
      <c r="B26" s="810"/>
      <c r="C26" s="810"/>
      <c r="D26" s="810"/>
      <c r="E26" s="810"/>
      <c r="F26" s="810"/>
      <c r="G26" s="810"/>
      <c r="H26" s="810"/>
      <c r="I26" s="810"/>
      <c r="J26" s="830">
        <v>1</v>
      </c>
      <c r="K26" s="831"/>
    </row>
    <row r="27" spans="1:11" x14ac:dyDescent="0.25">
      <c r="A27" s="822" t="s">
        <v>383</v>
      </c>
      <c r="B27" s="823"/>
      <c r="C27" s="823"/>
      <c r="D27" s="823"/>
      <c r="E27" s="823"/>
      <c r="F27" s="823"/>
      <c r="G27" s="823"/>
      <c r="H27" s="823"/>
      <c r="I27" s="823"/>
      <c r="J27" s="830">
        <v>0.05</v>
      </c>
      <c r="K27" s="831"/>
    </row>
    <row r="28" spans="1:11" x14ac:dyDescent="0.25">
      <c r="A28" s="251"/>
      <c r="B28" s="236"/>
      <c r="C28" s="236"/>
      <c r="D28" s="236"/>
      <c r="E28" s="236"/>
      <c r="F28" s="236"/>
      <c r="G28" s="236"/>
      <c r="H28" s="236"/>
      <c r="I28" s="236"/>
      <c r="J28" s="236"/>
      <c r="K28" s="252"/>
    </row>
    <row r="29" spans="1:11" x14ac:dyDescent="0.25">
      <c r="A29" s="824" t="s">
        <v>384</v>
      </c>
      <c r="B29" s="825"/>
      <c r="C29" s="825"/>
      <c r="D29" s="825"/>
      <c r="E29" s="825" t="s">
        <v>385</v>
      </c>
      <c r="F29" s="826" t="s">
        <v>386</v>
      </c>
      <c r="G29" s="826" t="s">
        <v>387</v>
      </c>
      <c r="H29" s="826" t="s">
        <v>388</v>
      </c>
      <c r="I29" s="825" t="s">
        <v>389</v>
      </c>
      <c r="J29" s="825"/>
      <c r="K29" s="827"/>
    </row>
    <row r="30" spans="1:11" x14ac:dyDescent="0.25">
      <c r="A30" s="824"/>
      <c r="B30" s="825"/>
      <c r="C30" s="825"/>
      <c r="D30" s="825"/>
      <c r="E30" s="825"/>
      <c r="F30" s="826"/>
      <c r="G30" s="826"/>
      <c r="H30" s="826"/>
      <c r="I30" s="246" t="s">
        <v>390</v>
      </c>
      <c r="J30" s="246" t="s">
        <v>391</v>
      </c>
      <c r="K30" s="253" t="s">
        <v>392</v>
      </c>
    </row>
    <row r="31" spans="1:11" x14ac:dyDescent="0.25">
      <c r="A31" s="809" t="s">
        <v>393</v>
      </c>
      <c r="B31" s="810"/>
      <c r="C31" s="810"/>
      <c r="D31" s="810"/>
      <c r="E31" s="237" t="s">
        <v>394</v>
      </c>
      <c r="F31" s="245">
        <v>4.2500000000000003E-2</v>
      </c>
      <c r="G31" s="245">
        <v>4.2500000000000003E-2</v>
      </c>
      <c r="H31" s="238" t="s">
        <v>51</v>
      </c>
      <c r="I31" s="239">
        <v>3.4299999999999997E-2</v>
      </c>
      <c r="J31" s="239">
        <v>4.9299999999999997E-2</v>
      </c>
      <c r="K31" s="240">
        <v>6.7100000000000007E-2</v>
      </c>
    </row>
    <row r="32" spans="1:11" x14ac:dyDescent="0.25">
      <c r="A32" s="809" t="s">
        <v>395</v>
      </c>
      <c r="B32" s="810"/>
      <c r="C32" s="810"/>
      <c r="D32" s="810"/>
      <c r="E32" s="237" t="s">
        <v>396</v>
      </c>
      <c r="F32" s="245">
        <v>7.4999999999999997E-3</v>
      </c>
      <c r="G32" s="245">
        <v>4.8999999999999998E-3</v>
      </c>
      <c r="H32" s="238" t="s">
        <v>51</v>
      </c>
      <c r="I32" s="239">
        <v>2.8E-3</v>
      </c>
      <c r="J32" s="239">
        <v>4.8999999999999998E-3</v>
      </c>
      <c r="K32" s="240">
        <v>7.4999999999999997E-3</v>
      </c>
    </row>
    <row r="33" spans="1:11" x14ac:dyDescent="0.25">
      <c r="A33" s="809" t="s">
        <v>397</v>
      </c>
      <c r="B33" s="810"/>
      <c r="C33" s="810"/>
      <c r="D33" s="810"/>
      <c r="E33" s="237" t="s">
        <v>398</v>
      </c>
      <c r="F33" s="245">
        <v>1.7399999999999999E-2</v>
      </c>
      <c r="G33" s="245">
        <v>1.3899999999999999E-2</v>
      </c>
      <c r="H33" s="238" t="s">
        <v>51</v>
      </c>
      <c r="I33" s="239">
        <v>0.01</v>
      </c>
      <c r="J33" s="239">
        <v>1.3899999999999999E-2</v>
      </c>
      <c r="K33" s="240">
        <v>1.7399999999999999E-2</v>
      </c>
    </row>
    <row r="34" spans="1:11" x14ac:dyDescent="0.25">
      <c r="A34" s="809" t="s">
        <v>399</v>
      </c>
      <c r="B34" s="810"/>
      <c r="C34" s="810"/>
      <c r="D34" s="810"/>
      <c r="E34" s="237" t="s">
        <v>400</v>
      </c>
      <c r="F34" s="245">
        <v>1.17E-2</v>
      </c>
      <c r="G34" s="245">
        <v>9.9000000000000008E-3</v>
      </c>
      <c r="H34" s="238" t="s">
        <v>51</v>
      </c>
      <c r="I34" s="239">
        <v>9.4000000000000004E-3</v>
      </c>
      <c r="J34" s="239">
        <v>9.9000000000000008E-3</v>
      </c>
      <c r="K34" s="240">
        <v>1.17E-2</v>
      </c>
    </row>
    <row r="35" spans="1:11" x14ac:dyDescent="0.25">
      <c r="A35" s="809" t="s">
        <v>401</v>
      </c>
      <c r="B35" s="810"/>
      <c r="C35" s="810"/>
      <c r="D35" s="810"/>
      <c r="E35" s="237" t="s">
        <v>402</v>
      </c>
      <c r="F35" s="245">
        <v>6.9599999999999995E-2</v>
      </c>
      <c r="G35" s="245">
        <v>7.6999999999999999E-2</v>
      </c>
      <c r="H35" s="238" t="s">
        <v>51</v>
      </c>
      <c r="I35" s="239">
        <v>6.7400000000000002E-2</v>
      </c>
      <c r="J35" s="239">
        <v>8.0399999999999999E-2</v>
      </c>
      <c r="K35" s="240">
        <v>9.4E-2</v>
      </c>
    </row>
    <row r="36" spans="1:11" x14ac:dyDescent="0.25">
      <c r="A36" s="822" t="s">
        <v>403</v>
      </c>
      <c r="B36" s="823"/>
      <c r="C36" s="823"/>
      <c r="D36" s="823"/>
      <c r="E36" s="237" t="s">
        <v>404</v>
      </c>
      <c r="F36" s="245">
        <v>3.6499999999999998E-2</v>
      </c>
      <c r="G36" s="245">
        <v>3.6499999999999998E-2</v>
      </c>
      <c r="H36" s="238" t="s">
        <v>51</v>
      </c>
      <c r="I36" s="239">
        <v>3.6499999999999998E-2</v>
      </c>
      <c r="J36" s="239">
        <v>3.6499999999999998E-2</v>
      </c>
      <c r="K36" s="240">
        <v>3.6499999999999998E-2</v>
      </c>
    </row>
    <row r="37" spans="1:11" x14ac:dyDescent="0.25">
      <c r="A37" s="809" t="s">
        <v>405</v>
      </c>
      <c r="B37" s="810"/>
      <c r="C37" s="810"/>
      <c r="D37" s="810"/>
      <c r="E37" s="237" t="s">
        <v>227</v>
      </c>
      <c r="F37" s="239">
        <f>J27</f>
        <v>0.05</v>
      </c>
      <c r="G37" s="239">
        <f>J27*J26</f>
        <v>0.05</v>
      </c>
      <c r="H37" s="238" t="s">
        <v>51</v>
      </c>
      <c r="I37" s="239">
        <v>0</v>
      </c>
      <c r="J37" s="239">
        <v>2.5000000000000001E-2</v>
      </c>
      <c r="K37" s="240">
        <v>0.05</v>
      </c>
    </row>
    <row r="38" spans="1:11" ht="26.25" customHeight="1" x14ac:dyDescent="0.25">
      <c r="A38" s="809" t="s">
        <v>406</v>
      </c>
      <c r="B38" s="810"/>
      <c r="C38" s="810"/>
      <c r="D38" s="810"/>
      <c r="E38" s="237" t="s">
        <v>407</v>
      </c>
      <c r="F38" s="239">
        <v>4.4999999999999998E-2</v>
      </c>
      <c r="G38" s="239">
        <v>4.4999999999999998E-2</v>
      </c>
      <c r="H38" s="306" t="str">
        <f>IF(AND(G38&gt;=I38, G38&lt;=K38), "OK", "Não OK")</f>
        <v>OK</v>
      </c>
      <c r="I38" s="241">
        <v>0</v>
      </c>
      <c r="J38" s="241">
        <v>4.4999999999999998E-2</v>
      </c>
      <c r="K38" s="242">
        <v>4.4999999999999998E-2</v>
      </c>
    </row>
    <row r="39" spans="1:11" x14ac:dyDescent="0.25">
      <c r="A39" s="811" t="s">
        <v>408</v>
      </c>
      <c r="B39" s="812"/>
      <c r="C39" s="812"/>
      <c r="D39" s="812"/>
      <c r="E39" s="246" t="s">
        <v>409</v>
      </c>
      <c r="F39" s="247">
        <f>ROUND((((1+F31+F32+F33)*(1+F34)*(1+F35)/(1-(F36+F37)))-1),4)</f>
        <v>0.26440000000000002</v>
      </c>
      <c r="G39" s="247">
        <f>ROUND((((1+G31+G32+G33)*(1+G34)*(1+G35)/(1-(G36+G37)))-1),4)</f>
        <v>0.2636</v>
      </c>
      <c r="H39" s="307" t="str">
        <f>IF(OR(AND(G39&gt;=I39, G39&lt;=K39)), "OK", "NÃO OK")</f>
        <v>OK</v>
      </c>
      <c r="I39" s="248">
        <v>0.20760000000000001</v>
      </c>
      <c r="J39" s="248">
        <v>0.24179999999999999</v>
      </c>
      <c r="K39" s="254">
        <v>0.26440000000000002</v>
      </c>
    </row>
    <row r="40" spans="1:11" x14ac:dyDescent="0.2">
      <c r="A40" s="811" t="s">
        <v>410</v>
      </c>
      <c r="B40" s="812"/>
      <c r="C40" s="812"/>
      <c r="D40" s="812"/>
      <c r="E40" s="249" t="s">
        <v>411</v>
      </c>
      <c r="F40" s="247">
        <f>ROUND((((1+F31+F32+F33)*(1+F34)*(1+F35)/(1-(F36+F37+F38)))-1),4)</f>
        <v>0.32990000000000003</v>
      </c>
      <c r="G40" s="247">
        <f>ROUND((((1+G31+G32+G33)*(1+G34)*(1+G35)/(1-(G36+G37+G38)))-1),4)</f>
        <v>0.3291</v>
      </c>
      <c r="H40" s="307" t="str">
        <f>H39</f>
        <v>OK</v>
      </c>
      <c r="I40" s="250"/>
      <c r="J40" s="250"/>
      <c r="K40" s="255"/>
    </row>
    <row r="41" spans="1:11" x14ac:dyDescent="0.2">
      <c r="A41" s="256"/>
      <c r="B41" s="257"/>
      <c r="C41" s="257"/>
      <c r="D41" s="257"/>
      <c r="E41" s="257"/>
      <c r="F41" s="257"/>
      <c r="G41" s="257"/>
      <c r="H41" s="257"/>
      <c r="I41" s="257"/>
      <c r="J41" s="243" t="s">
        <v>412</v>
      </c>
      <c r="K41" s="244">
        <f>SUM(J31:J34)</f>
        <v>7.8E-2</v>
      </c>
    </row>
    <row r="42" spans="1:11" x14ac:dyDescent="0.2">
      <c r="A42" s="258"/>
      <c r="B42" s="259"/>
      <c r="C42" s="259"/>
      <c r="D42" s="259"/>
      <c r="E42" s="259"/>
      <c r="F42" s="259"/>
      <c r="G42" s="259"/>
      <c r="H42" s="259"/>
      <c r="I42" s="259"/>
      <c r="J42" s="260"/>
      <c r="K42" s="261"/>
    </row>
    <row r="43" spans="1:11" ht="26.25" customHeight="1" x14ac:dyDescent="0.25">
      <c r="A43" s="813" t="s">
        <v>413</v>
      </c>
      <c r="B43" s="814"/>
      <c r="C43" s="814"/>
      <c r="D43" s="814"/>
      <c r="E43" s="814"/>
      <c r="F43" s="814"/>
      <c r="G43" s="814"/>
      <c r="H43" s="814"/>
      <c r="I43" s="814"/>
      <c r="J43" s="814"/>
      <c r="K43" s="815"/>
    </row>
    <row r="44" spans="1:11" x14ac:dyDescent="0.25">
      <c r="A44" s="262"/>
      <c r="B44" s="263"/>
      <c r="C44" s="263"/>
      <c r="D44" s="816"/>
      <c r="E44" s="818" t="str">
        <f>IF(J25="Sim","BDI.DES =","BDI.PAD =")</f>
        <v>BDI.PAD =</v>
      </c>
      <c r="F44" s="818" t="s">
        <v>414</v>
      </c>
      <c r="G44" s="818"/>
      <c r="H44" s="820">
        <v>-1</v>
      </c>
      <c r="I44" s="820"/>
      <c r="J44" s="263"/>
      <c r="K44" s="264"/>
    </row>
    <row r="45" spans="1:11" ht="15.75" thickBot="1" x14ac:dyDescent="0.3">
      <c r="A45" s="265"/>
      <c r="B45" s="266"/>
      <c r="C45" s="266"/>
      <c r="D45" s="817"/>
      <c r="E45" s="819"/>
      <c r="F45" s="808" t="s">
        <v>415</v>
      </c>
      <c r="G45" s="808"/>
      <c r="H45" s="821"/>
      <c r="I45" s="821"/>
      <c r="J45" s="266"/>
      <c r="K45" s="267"/>
    </row>
    <row r="47" spans="1:11" ht="15" customHeight="1" x14ac:dyDescent="0.25"/>
  </sheetData>
  <mergeCells count="40">
    <mergeCell ref="C18:J18"/>
    <mergeCell ref="A3:K3"/>
    <mergeCell ref="C16:J16"/>
    <mergeCell ref="C17:J17"/>
    <mergeCell ref="C19:J19"/>
    <mergeCell ref="A20:K20"/>
    <mergeCell ref="A22:K22"/>
    <mergeCell ref="A23:G23"/>
    <mergeCell ref="A24:I24"/>
    <mergeCell ref="J24:K24"/>
    <mergeCell ref="A35:D35"/>
    <mergeCell ref="H29:H30"/>
    <mergeCell ref="I29:K29"/>
    <mergeCell ref="A25:I25"/>
    <mergeCell ref="J25:K25"/>
    <mergeCell ref="A26:I26"/>
    <mergeCell ref="J26:K26"/>
    <mergeCell ref="A27:I27"/>
    <mergeCell ref="J27:K27"/>
    <mergeCell ref="G29:G30"/>
    <mergeCell ref="A31:D31"/>
    <mergeCell ref="A32:D32"/>
    <mergeCell ref="A33:D33"/>
    <mergeCell ref="A34:D34"/>
    <mergeCell ref="A1:K1"/>
    <mergeCell ref="F45:G45"/>
    <mergeCell ref="A37:D37"/>
    <mergeCell ref="A38:D38"/>
    <mergeCell ref="A39:D39"/>
    <mergeCell ref="A40:D40"/>
    <mergeCell ref="A43:K43"/>
    <mergeCell ref="D44:D45"/>
    <mergeCell ref="E44:E45"/>
    <mergeCell ref="F44:G44"/>
    <mergeCell ref="H44:H45"/>
    <mergeCell ref="I44:I45"/>
    <mergeCell ref="A36:D36"/>
    <mergeCell ref="A29:D30"/>
    <mergeCell ref="E29:E30"/>
    <mergeCell ref="F29:F30"/>
  </mergeCells>
  <conditionalFormatting sqref="A39:D39">
    <cfRule type="expression" dxfId="7" priority="3" stopIfTrue="1">
      <formula>#REF!="Não"</formula>
    </cfRule>
  </conditionalFormatting>
  <conditionalFormatting sqref="A40:E40">
    <cfRule type="expression" dxfId="6" priority="5" stopIfTrue="1">
      <formula>#REF!="Não"</formula>
    </cfRule>
  </conditionalFormatting>
  <conditionalFormatting sqref="A26:I26">
    <cfRule type="expression" dxfId="5" priority="6" stopIfTrue="1">
      <formula>#REF!=#REF!</formula>
    </cfRule>
  </conditionalFormatting>
  <conditionalFormatting sqref="F39:G39">
    <cfRule type="expression" dxfId="4" priority="7" stopIfTrue="1">
      <formula>#REF!="Não"</formula>
    </cfRule>
  </conditionalFormatting>
  <conditionalFormatting sqref="F40:G40">
    <cfRule type="expression" dxfId="3" priority="8" stopIfTrue="1">
      <formula>#REF!="sim"</formula>
    </cfRule>
  </conditionalFormatting>
  <conditionalFormatting sqref="H31:H40">
    <cfRule type="cellIs" dxfId="2" priority="1" stopIfTrue="1" operator="equal">
      <formula>"NÃO OK"</formula>
    </cfRule>
    <cfRule type="cellIs" dxfId="1" priority="2" stopIfTrue="1" operator="equal">
      <formula>"OK"</formula>
    </cfRule>
  </conditionalFormatting>
  <conditionalFormatting sqref="J26:K27 A27:I27">
    <cfRule type="expression" dxfId="0" priority="4" stopIfTrue="1">
      <formula>#REF!=#REF!</formula>
    </cfRule>
  </conditionalFormatting>
  <dataValidations count="5">
    <dataValidation operator="greaterThanOrEqual" allowBlank="1" showInputMessage="1" showErrorMessage="1" errorTitle="Erro de valores" error="Digite um valor igual a 0% ou 2%." sqref="F38:G38" xr:uid="{FC851D1A-818B-48F5-9CE7-E22D6CF66D16}"/>
    <dataValidation type="decimal" allowBlank="1" showInputMessage="1" showErrorMessage="1" errorTitle="Erro de valores" error="Digite um valor maior do que 0." sqref="F37:G37" xr:uid="{CBB4F5BD-1781-47B8-BBA2-3F014252FE27}">
      <formula1>0</formula1>
      <formula2>1</formula2>
    </dataValidation>
    <dataValidation type="decimal" allowBlank="1" showInputMessage="1" showErrorMessage="1" errorTitle="Valor não permitido" error="Digite um percentual entre 0% e 100%." promptTitle="Valores admissíveis:" prompt="Insira valores entre 0 e 100%." sqref="J26:K26" xr:uid="{B2D9213B-998A-4B34-B2AF-3B8F7D4B83C0}">
      <formula1>0</formula1>
      <formula2>1</formula2>
    </dataValidation>
    <dataValidation type="decimal" operator="greaterThanOrEqual" allowBlank="1" showInputMessage="1" showErrorMessage="1" errorTitle="Valor não permitido" error="Digite um percentual entre 0% e 100%." promptTitle="Valores comuns:" prompt="Normalmente entre 2 e 5%." sqref="J27:K27" xr:uid="{34462400-F8F9-475E-9532-D3598E6684BA}">
      <formula1>0</formula1>
    </dataValidation>
    <dataValidation type="decimal" allowBlank="1" showInputMessage="1" showErrorMessage="1" errorTitle="Erro de valores" error="Digite um valor entre 0% e 100%" sqref="F31:G36" xr:uid="{4A8C50F2-D5EB-46BE-AB1A-AACF6AE5D30B}">
      <formula1>0</formula1>
      <formula2>1</formula2>
    </dataValidation>
  </dataValidation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landscape" horizontalDpi="300" verticalDpi="300" r:id="rId1"/>
  <headerFooter>
    <oddFooter>Página &amp;P de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436CE-0FDC-4B2A-A513-5488F03BD345}">
  <dimension ref="A1:A50"/>
  <sheetViews>
    <sheetView workbookViewId="0">
      <selection activeCell="E19" sqref="E19"/>
    </sheetView>
  </sheetViews>
  <sheetFormatPr defaultColWidth="8.85546875" defaultRowHeight="15" x14ac:dyDescent="0.25"/>
  <cols>
    <col min="1" max="1" width="90.140625" customWidth="1"/>
  </cols>
  <sheetData>
    <row r="1" spans="1:1" ht="15.75" x14ac:dyDescent="0.25">
      <c r="A1" s="1" t="s">
        <v>416</v>
      </c>
    </row>
    <row r="3" spans="1:1" ht="45" customHeight="1" x14ac:dyDescent="0.25">
      <c r="A3" s="270" t="s">
        <v>417</v>
      </c>
    </row>
    <row r="4" spans="1:1" x14ac:dyDescent="0.25">
      <c r="A4" s="270"/>
    </row>
    <row r="5" spans="1:1" ht="30" customHeight="1" x14ac:dyDescent="0.25">
      <c r="A5" s="270" t="s">
        <v>418</v>
      </c>
    </row>
    <row r="6" spans="1:1" x14ac:dyDescent="0.25">
      <c r="A6" s="270"/>
    </row>
    <row r="7" spans="1:1" ht="26.25" x14ac:dyDescent="0.25">
      <c r="A7" s="270" t="s">
        <v>419</v>
      </c>
    </row>
    <row r="8" spans="1:1" x14ac:dyDescent="0.25">
      <c r="A8" s="270"/>
    </row>
    <row r="9" spans="1:1" x14ac:dyDescent="0.25">
      <c r="A9" s="130" t="s">
        <v>420</v>
      </c>
    </row>
    <row r="10" spans="1:1" x14ac:dyDescent="0.25">
      <c r="A10" s="130"/>
    </row>
    <row r="11" spans="1:1" ht="26.25" x14ac:dyDescent="0.25">
      <c r="A11" s="270" t="s">
        <v>421</v>
      </c>
    </row>
    <row r="12" spans="1:1" x14ac:dyDescent="0.25">
      <c r="A12" s="270"/>
    </row>
    <row r="13" spans="1:1" ht="26.25" x14ac:dyDescent="0.25">
      <c r="A13" s="270" t="s">
        <v>422</v>
      </c>
    </row>
    <row r="14" spans="1:1" x14ac:dyDescent="0.25">
      <c r="A14" s="130"/>
    </row>
    <row r="15" spans="1:1" ht="26.25" x14ac:dyDescent="0.25">
      <c r="A15" s="270" t="s">
        <v>423</v>
      </c>
    </row>
    <row r="16" spans="1:1" x14ac:dyDescent="0.25">
      <c r="A16" s="130"/>
    </row>
    <row r="17" spans="1:1" ht="39" x14ac:dyDescent="0.25">
      <c r="A17" s="270" t="s">
        <v>424</v>
      </c>
    </row>
    <row r="18" spans="1:1" x14ac:dyDescent="0.25">
      <c r="A18" s="130"/>
    </row>
    <row r="19" spans="1:1" ht="26.25" x14ac:dyDescent="0.25">
      <c r="A19" s="270" t="s">
        <v>425</v>
      </c>
    </row>
    <row r="20" spans="1:1" ht="26.25" x14ac:dyDescent="0.25">
      <c r="A20" s="270" t="s">
        <v>426</v>
      </c>
    </row>
    <row r="21" spans="1:1" x14ac:dyDescent="0.25">
      <c r="A21" s="130"/>
    </row>
    <row r="22" spans="1:1" ht="26.25" x14ac:dyDescent="0.25">
      <c r="A22" s="270" t="s">
        <v>427</v>
      </c>
    </row>
    <row r="23" spans="1:1" x14ac:dyDescent="0.25">
      <c r="A23" s="130"/>
    </row>
    <row r="24" spans="1:1" ht="39" x14ac:dyDescent="0.25">
      <c r="A24" s="270" t="s">
        <v>428</v>
      </c>
    </row>
    <row r="25" spans="1:1" x14ac:dyDescent="0.25">
      <c r="A25" s="130"/>
    </row>
    <row r="26" spans="1:1" ht="26.25" x14ac:dyDescent="0.25">
      <c r="A26" s="270" t="s">
        <v>429</v>
      </c>
    </row>
    <row r="27" spans="1:1" x14ac:dyDescent="0.25">
      <c r="A27" s="130"/>
    </row>
    <row r="28" spans="1:1" ht="33" customHeight="1" x14ac:dyDescent="0.25">
      <c r="A28" s="320" t="s">
        <v>430</v>
      </c>
    </row>
    <row r="29" spans="1:1" x14ac:dyDescent="0.25">
      <c r="A29" s="130"/>
    </row>
    <row r="30" spans="1:1" x14ac:dyDescent="0.25">
      <c r="A30" s="130"/>
    </row>
    <row r="31" spans="1:1" x14ac:dyDescent="0.25">
      <c r="A31" s="130"/>
    </row>
    <row r="32" spans="1:1" x14ac:dyDescent="0.25">
      <c r="A32" s="130"/>
    </row>
    <row r="33" spans="1:1" x14ac:dyDescent="0.25">
      <c r="A33" s="130"/>
    </row>
    <row r="34" spans="1:1" x14ac:dyDescent="0.25">
      <c r="A34" s="130"/>
    </row>
    <row r="35" spans="1:1" x14ac:dyDescent="0.25">
      <c r="A35" s="130"/>
    </row>
    <row r="36" spans="1:1" x14ac:dyDescent="0.25">
      <c r="A36" s="130"/>
    </row>
    <row r="37" spans="1:1" x14ac:dyDescent="0.25">
      <c r="A37" s="130"/>
    </row>
    <row r="38" spans="1:1" x14ac:dyDescent="0.25">
      <c r="A38" s="130"/>
    </row>
    <row r="39" spans="1:1" x14ac:dyDescent="0.25">
      <c r="A39" s="130"/>
    </row>
    <row r="40" spans="1:1" x14ac:dyDescent="0.25">
      <c r="A40" s="130"/>
    </row>
    <row r="41" spans="1:1" x14ac:dyDescent="0.25">
      <c r="A41" s="130"/>
    </row>
    <row r="42" spans="1:1" x14ac:dyDescent="0.25">
      <c r="A42" s="130"/>
    </row>
    <row r="43" spans="1:1" x14ac:dyDescent="0.25">
      <c r="A43" s="130"/>
    </row>
    <row r="44" spans="1:1" x14ac:dyDescent="0.25">
      <c r="A44" s="130"/>
    </row>
    <row r="45" spans="1:1" x14ac:dyDescent="0.25">
      <c r="A45" s="130"/>
    </row>
    <row r="46" spans="1:1" x14ac:dyDescent="0.25">
      <c r="A46" s="130"/>
    </row>
    <row r="47" spans="1:1" x14ac:dyDescent="0.25">
      <c r="A47" s="130"/>
    </row>
    <row r="48" spans="1:1" x14ac:dyDescent="0.25">
      <c r="A48" s="130"/>
    </row>
    <row r="49" spans="1:1" x14ac:dyDescent="0.25">
      <c r="A49" s="130"/>
    </row>
    <row r="50" spans="1:1" x14ac:dyDescent="0.25">
      <c r="A50" s="130"/>
    </row>
  </sheetData>
  <printOptions horizontalCentered="1"/>
  <pageMargins left="0.51181102362204722" right="0.51181102362204722" top="0.78740157480314965" bottom="0.78740157480314965" header="0.31496062992125984" footer="0.31496062992125984"/>
  <pageSetup paperSize="9" orientation="portrait" horizontalDpi="1200" verticalDpi="1200" r:id="rId1"/>
  <headerFooter>
    <oddFooter>Página &amp;P de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GPS20_x002d_04 xmlns="f713f894-8e5f-49bb-aba3-bc5acb6c15a1" xsi:nil="true"/>
    <_x0020__x0020__x0020__x0020_ xmlns="f713f894-8e5f-49bb-aba3-bc5acb6c15a1" xsi:nil="true"/>
    <lcf76f155ced4ddcb4097134ff3c332f xmlns="f713f894-8e5f-49bb-aba3-bc5acb6c15a1">
      <Terms xmlns="http://schemas.microsoft.com/office/infopath/2007/PartnerControls"/>
    </lcf76f155ced4ddcb4097134ff3c332f>
    <TaxCatchAll xmlns="2654f1fe-3808-4788-a1c9-5f0b422ba0d6" xsi:nil="true"/>
    <_Flow_SignoffStatus xmlns="f713f894-8e5f-49bb-aba3-bc5acb6c15a1" xsi:nil="true"/>
    <Data_x002f_hora xmlns="f713f894-8e5f-49bb-aba3-bc5acb6c15a1" xsi:nil="true"/>
    <Edilson xmlns="f713f894-8e5f-49bb-aba3-bc5acb6c15a1">
      <UserInfo>
        <DisplayName/>
        <AccountId xsi:nil="true"/>
        <AccountType/>
      </UserInfo>
    </Edilson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3A0AECF16DCE43814DAC9BA31E4679" ma:contentTypeVersion="24" ma:contentTypeDescription="Crie um novo documento." ma:contentTypeScope="" ma:versionID="8cc70de98fa3f25d4758272056b383fd">
  <xsd:schema xmlns:xsd="http://www.w3.org/2001/XMLSchema" xmlns:xs="http://www.w3.org/2001/XMLSchema" xmlns:p="http://schemas.microsoft.com/office/2006/metadata/properties" xmlns:ns2="f713f894-8e5f-49bb-aba3-bc5acb6c15a1" xmlns:ns3="2654f1fe-3808-4788-a1c9-5f0b422ba0d6" targetNamespace="http://schemas.microsoft.com/office/2006/metadata/properties" ma:root="true" ma:fieldsID="6764d48c3f9a71d88db86b8f9a7c62d8" ns2:_="" ns3:_="">
    <xsd:import namespace="f713f894-8e5f-49bb-aba3-bc5acb6c15a1"/>
    <xsd:import namespace="2654f1fe-3808-4788-a1c9-5f0b422ba0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GPS20_x002d_04" minOccurs="0"/>
                <xsd:element ref="ns2:_x0020__x0020__x0020__x0020_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Data_x002f_hora" minOccurs="0"/>
                <xsd:element ref="ns2:Edils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13f894-8e5f-49bb-aba3-bc5acb6c15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Marcações de imagem" ma:readOnly="false" ma:fieldId="{5cf76f15-5ced-4ddc-b409-7134ff3c332f}" ma:taxonomyMulti="true" ma:sspId="37a9c149-240b-4054-b6f2-0d1c435622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GPS20_x002d_04" ma:index="24" nillable="true" ma:displayName="GPS 20-04" ma:format="Dropdown" ma:internalName="GPS20_x002d_04">
      <xsd:simpleType>
        <xsd:restriction base="dms:Text">
          <xsd:maxLength value="255"/>
        </xsd:restriction>
      </xsd:simpleType>
    </xsd:element>
    <xsd:element name="_x0020__x0020__x0020__x0020_" ma:index="25" nillable="true" ma:displayName="    " ma:format="Dropdown" ma:internalName="_x0020__x0020__x0020__x0020_">
      <xsd:simpleType>
        <xsd:restriction base="dms:Text">
          <xsd:maxLength value="255"/>
        </xsd:restriction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7" nillable="true" ma:displayName="Status de liberação" ma:internalName="Status_x0020_de_x0020_libera_x00e7__x00e3_o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a_x002f_hora" ma:index="29" nillable="true" ma:displayName="Data/hora" ma:format="DateTime" ma:internalName="Data_x002f_hora">
      <xsd:simpleType>
        <xsd:restriction base="dms:DateTime"/>
      </xsd:simpleType>
    </xsd:element>
    <xsd:element name="Edilson" ma:index="30" nillable="true" ma:displayName="Edilson" ma:format="Dropdown" ma:list="UserInfo" ma:SharePointGroup="0" ma:internalName="Edilson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BillingMetadata" ma:index="3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4f1fe-3808-4788-a1c9-5f0b422ba0d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401889a-5795-441c-8727-ad37507fe82d}" ma:internalName="TaxCatchAll" ma:showField="CatchAllData" ma:web="2654f1fe-3808-4788-a1c9-5f0b422ba0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5352DBB-54CD-4BCA-8464-A3FA8AE1D6AE}">
  <ds:schemaRefs>
    <ds:schemaRef ds:uri="http://schemas.microsoft.com/office/2006/metadata/properties"/>
    <ds:schemaRef ds:uri="http://schemas.microsoft.com/office/infopath/2007/PartnerControls"/>
    <ds:schemaRef ds:uri="f713f894-8e5f-49bb-aba3-bc5acb6c15a1"/>
    <ds:schemaRef ds:uri="2654f1fe-3808-4788-a1c9-5f0b422ba0d6"/>
  </ds:schemaRefs>
</ds:datastoreItem>
</file>

<file path=customXml/itemProps2.xml><?xml version="1.0" encoding="utf-8"?>
<ds:datastoreItem xmlns:ds="http://schemas.openxmlformats.org/officeDocument/2006/customXml" ds:itemID="{007E8F4B-B096-4948-B87A-165B4955884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C9D4EBB-6ABC-4C8E-9A6B-AB905041D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13f894-8e5f-49bb-aba3-bc5acb6c15a1"/>
    <ds:schemaRef ds:uri="2654f1fe-3808-4788-a1c9-5f0b422ba0d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14</vt:i4>
      </vt:variant>
      <vt:variant>
        <vt:lpstr>Intervalos Nomeados</vt:lpstr>
      </vt:variant>
      <vt:variant>
        <vt:i4>2</vt:i4>
      </vt:variant>
    </vt:vector>
  </HeadingPairs>
  <TitlesOfParts>
    <vt:vector size="16" baseType="lpstr">
      <vt:lpstr>CAPA</vt:lpstr>
      <vt:lpstr>COMPOSIÇÃO DE CUSTOS - LOTE 3_</vt:lpstr>
      <vt:lpstr>COMPOSIÇÃO DE CUSTOS - LOTE 5</vt:lpstr>
      <vt:lpstr>CRON LOTE 5</vt:lpstr>
      <vt:lpstr>DESPESAS DIVERSAS II</vt:lpstr>
      <vt:lpstr>CRON LOTE 3_</vt:lpstr>
      <vt:lpstr>EQUIPE PERMANENTE</vt:lpstr>
      <vt:lpstr>ENCARGOS COMPLEMENTARES</vt:lpstr>
      <vt:lpstr>ENCARGOS SOCIAIS</vt:lpstr>
      <vt:lpstr>DESPESAS DIVERSAS I</vt:lpstr>
      <vt:lpstr>DESPESAS DIVERSAS I (2)</vt:lpstr>
      <vt:lpstr>SERVIÇOS TÉCNICOS</vt:lpstr>
      <vt:lpstr>FATOR K</vt:lpstr>
      <vt:lpstr>REFERÊNCIAS</vt:lpstr>
      <vt:lpstr>'CRON LOTE 3_'!Area_de_impressao</vt:lpstr>
      <vt:lpstr>'CRON LOTE 5'!Area_de_impressao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Vitor Soares Feitoza</cp:lastModifiedBy>
  <cp:revision/>
  <dcterms:created xsi:type="dcterms:W3CDTF">2024-03-04T18:58:08Z</dcterms:created>
  <dcterms:modified xsi:type="dcterms:W3CDTF">2025-11-09T23:06:18Z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0x010100E13A0AECF16DCE43814DAC9BA31E4679</vt:lpwstr>
  </property>
  <property fmtid="{D5CDD505-2E9C-101B-9397-08002B2CF9AE}" pid="3" name="MediaServiceImageTags">
    <vt:lpwstr/>
  </property>
</Properties>
</file>