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agevap2-my.sharepoint.com/personal/gisely_souza_agedoce_org_br/Documents/ￃﾁrea de Trabalho/Educaￃﾧￃﾣo Ambiental/"/>
    </mc:Choice>
  </mc:AlternateContent>
  <xr:revisionPtr revIDLastSave="13" documentId="13_ncr:1_{46B82F0E-53CA-4429-A444-71AF1699AD2C}" xr6:coauthVersionLast="47" xr6:coauthVersionMax="47" xr10:uidLastSave="{5E9E0F36-F743-4665-BD23-AC643E66BD17}"/>
  <bookViews>
    <workbookView xWindow="120" yWindow="345" windowWidth="20460" windowHeight="10770" xr2:uid="{A59A58EC-E587-4C78-8AF6-CB5006A0FD9B}"/>
  </bookViews>
  <sheets>
    <sheet name="CAPA" sheetId="16" r:id="rId1"/>
    <sheet name="COMPOSIÇÃO DE CUSTOS - LOTE 3_" sheetId="19" state="hidden" r:id="rId2"/>
    <sheet name="CRON LOTE 3_" sheetId="22" state="hidden" r:id="rId3"/>
    <sheet name="COMPOSIÇÃO DE CUSTOS " sheetId="25" r:id="rId4"/>
    <sheet name="CRONOGRAMA" sheetId="26" r:id="rId5"/>
    <sheet name="EQUIPE PERMANENTE" sheetId="27" r:id="rId6"/>
    <sheet name="ENCARGOS SOCIAIS" sheetId="2" r:id="rId7"/>
    <sheet name="DESPESAS DIVERSAS I (2)" sheetId="33" state="hidden" r:id="rId8"/>
    <sheet name="FATOR K" sheetId="12" r:id="rId9"/>
  </sheets>
  <definedNames>
    <definedName name="_xlnm.Print_Area" localSheetId="0">CAPA!$A$1:$B$39</definedName>
    <definedName name="_xlnm.Print_Area" localSheetId="2">'CRON LOTE 3_'!$A$1:$J$52</definedName>
    <definedName name="_xlnm.Print_Area" localSheetId="4">CRONOGRAMA!$A$1:$O$44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7" i="27" l="1"/>
  <c r="D46" i="27"/>
  <c r="G16" i="25"/>
  <c r="G17" i="25"/>
  <c r="G18" i="25"/>
  <c r="G15" i="25"/>
  <c r="D61" i="27"/>
  <c r="D60" i="27"/>
  <c r="D59" i="27"/>
  <c r="E56" i="27"/>
  <c r="E55" i="27"/>
  <c r="E54" i="27"/>
  <c r="H54" i="27"/>
  <c r="D38" i="27"/>
  <c r="E38" i="27" s="1"/>
  <c r="D37" i="27"/>
  <c r="E37" i="27" s="1"/>
  <c r="D32" i="27"/>
  <c r="E32" i="27" s="1"/>
  <c r="D33" i="27"/>
  <c r="E33" i="27" s="1"/>
  <c r="D34" i="27"/>
  <c r="D35" i="27"/>
  <c r="D31" i="27"/>
  <c r="E31" i="27" s="1"/>
  <c r="D24" i="27"/>
  <c r="E24" i="27" s="1"/>
  <c r="D25" i="27"/>
  <c r="D26" i="27"/>
  <c r="D27" i="27"/>
  <c r="E27" i="27" s="1"/>
  <c r="D28" i="27"/>
  <c r="E28" i="27" s="1"/>
  <c r="D29" i="27"/>
  <c r="D23" i="27"/>
  <c r="E23" i="27" s="1"/>
  <c r="D14" i="27"/>
  <c r="D15" i="27"/>
  <c r="E15" i="27" s="1"/>
  <c r="D16" i="27"/>
  <c r="E16" i="27" s="1"/>
  <c r="D17" i="27"/>
  <c r="E17" i="27" s="1"/>
  <c r="D18" i="27"/>
  <c r="E18" i="27" s="1"/>
  <c r="D19" i="27"/>
  <c r="E19" i="27" s="1"/>
  <c r="D20" i="27"/>
  <c r="E20" i="27" s="1"/>
  <c r="D21" i="27"/>
  <c r="E21" i="27" s="1"/>
  <c r="D13" i="27"/>
  <c r="E13" i="27" s="1"/>
  <c r="D43" i="27"/>
  <c r="D42" i="27"/>
  <c r="E35" i="27"/>
  <c r="E34" i="27"/>
  <c r="E26" i="27"/>
  <c r="E25" i="27"/>
  <c r="E14" i="27"/>
  <c r="M8" i="27"/>
  <c r="K8" i="27"/>
  <c r="E64" i="33"/>
  <c r="D55" i="33"/>
  <c r="C55" i="33"/>
  <c r="B55" i="33"/>
  <c r="D53" i="33"/>
  <c r="E29" i="33"/>
  <c r="E49" i="33" s="1"/>
  <c r="E71" i="33" s="1"/>
  <c r="D29" i="33"/>
  <c r="D49" i="33" s="1"/>
  <c r="D71" i="33" s="1"/>
  <c r="C29" i="33"/>
  <c r="C49" i="33" s="1"/>
  <c r="C71" i="33" s="1"/>
  <c r="B29" i="33"/>
  <c r="B49" i="33" s="1"/>
  <c r="B71" i="33" s="1"/>
  <c r="C26" i="33"/>
  <c r="B26" i="33"/>
  <c r="D20" i="33"/>
  <c r="D15" i="33"/>
  <c r="E10" i="33"/>
  <c r="E26" i="33" s="1"/>
  <c r="D10" i="33"/>
  <c r="D26" i="33" s="1"/>
  <c r="D30" i="27" l="1"/>
  <c r="D36" i="27"/>
  <c r="E36" i="27"/>
  <c r="D22" i="27"/>
  <c r="E30" i="27"/>
  <c r="E12" i="27"/>
  <c r="D12" i="27"/>
  <c r="E29" i="27"/>
  <c r="E22" i="27" s="1"/>
  <c r="B64" i="33"/>
  <c r="C64" i="33"/>
  <c r="D64" i="33"/>
  <c r="D63" i="33"/>
  <c r="D62" i="33"/>
  <c r="D60" i="33"/>
  <c r="D59" i="33"/>
  <c r="D61" i="33" s="1"/>
  <c r="D31" i="33"/>
  <c r="D35" i="33" s="1"/>
  <c r="E63" i="33"/>
  <c r="E62" i="33"/>
  <c r="E60" i="33"/>
  <c r="E59" i="33"/>
  <c r="E61" i="33" s="1"/>
  <c r="E31" i="33"/>
  <c r="E35" i="33" s="1"/>
  <c r="B63" i="33"/>
  <c r="B62" i="33"/>
  <c r="B60" i="33"/>
  <c r="B59" i="33"/>
  <c r="B61" i="33" s="1"/>
  <c r="B31" i="33"/>
  <c r="B35" i="33" s="1"/>
  <c r="C63" i="33"/>
  <c r="C62" i="33"/>
  <c r="C60" i="33"/>
  <c r="C59" i="33"/>
  <c r="C61" i="33" s="1"/>
  <c r="C31" i="33"/>
  <c r="C35" i="33" s="1"/>
  <c r="D39" i="27" l="1"/>
  <c r="E39" i="27"/>
  <c r="C72" i="33"/>
  <c r="C34" i="33"/>
  <c r="C66" i="33"/>
  <c r="C65" i="33"/>
  <c r="C67" i="33" s="1"/>
  <c r="C73" i="33" s="1"/>
  <c r="C77" i="33" s="1"/>
  <c r="B72" i="33"/>
  <c r="B34" i="33"/>
  <c r="B66" i="33"/>
  <c r="B65" i="33"/>
  <c r="B67" i="33" s="1"/>
  <c r="B73" i="33" s="1"/>
  <c r="E72" i="33"/>
  <c r="E77" i="33" s="1"/>
  <c r="E34" i="33"/>
  <c r="E66" i="33"/>
  <c r="E65" i="33"/>
  <c r="E67" i="33" s="1"/>
  <c r="E73" i="33" s="1"/>
  <c r="D72" i="33"/>
  <c r="D34" i="33"/>
  <c r="D66" i="33"/>
  <c r="D65" i="33"/>
  <c r="K11" i="12"/>
  <c r="D20" i="19"/>
  <c r="B33" i="19"/>
  <c r="D21" i="19"/>
  <c r="C21" i="19"/>
  <c r="B21" i="19"/>
  <c r="C20" i="19"/>
  <c r="B20" i="19"/>
  <c r="D19" i="19"/>
  <c r="C19" i="19"/>
  <c r="B19" i="19"/>
  <c r="D34" i="19"/>
  <c r="C34" i="19"/>
  <c r="B34" i="19"/>
  <c r="D33" i="19"/>
  <c r="C33" i="19"/>
  <c r="C39" i="19"/>
  <c r="C38" i="19"/>
  <c r="N43" i="27"/>
  <c r="L43" i="27"/>
  <c r="K43" i="27" s="1"/>
  <c r="J43" i="27"/>
  <c r="I43" i="27" s="1"/>
  <c r="N42" i="27"/>
  <c r="M42" i="27" s="1"/>
  <c r="L42" i="27"/>
  <c r="K42" i="27" s="1"/>
  <c r="J42" i="27"/>
  <c r="I42" i="27" s="1"/>
  <c r="D32" i="19"/>
  <c r="C32" i="19"/>
  <c r="B32" i="19"/>
  <c r="N47" i="27"/>
  <c r="M47" i="27" s="1"/>
  <c r="L47" i="27"/>
  <c r="K47" i="27" s="1"/>
  <c r="J47" i="27"/>
  <c r="I47" i="27" s="1"/>
  <c r="G47" i="27"/>
  <c r="N46" i="27"/>
  <c r="M46" i="27" s="1"/>
  <c r="L46" i="27"/>
  <c r="K46" i="27" s="1"/>
  <c r="J46" i="27"/>
  <c r="I46" i="27" s="1"/>
  <c r="G46" i="27"/>
  <c r="D17" i="19"/>
  <c r="D16" i="19"/>
  <c r="D15" i="19"/>
  <c r="D14" i="19"/>
  <c r="C17" i="19"/>
  <c r="C16" i="19"/>
  <c r="C15" i="19"/>
  <c r="C14" i="19"/>
  <c r="B17" i="19"/>
  <c r="B16" i="19"/>
  <c r="B15" i="19"/>
  <c r="B14" i="19"/>
  <c r="D13" i="19"/>
  <c r="D12" i="19"/>
  <c r="C13" i="19"/>
  <c r="C12" i="19"/>
  <c r="B13" i="19"/>
  <c r="B12" i="19"/>
  <c r="D11" i="19"/>
  <c r="C11" i="19"/>
  <c r="B11" i="19"/>
  <c r="D10" i="19"/>
  <c r="C10" i="19"/>
  <c r="B10" i="19"/>
  <c r="D9" i="19"/>
  <c r="C9" i="19"/>
  <c r="B9" i="19"/>
  <c r="D8" i="19"/>
  <c r="C8" i="19"/>
  <c r="B8" i="19"/>
  <c r="D7" i="19"/>
  <c r="C7" i="19"/>
  <c r="B7" i="19"/>
  <c r="C6" i="19"/>
  <c r="C4" i="2"/>
  <c r="M61" i="27"/>
  <c r="M60" i="27"/>
  <c r="M59" i="27"/>
  <c r="N56" i="27"/>
  <c r="N55" i="27"/>
  <c r="N54" i="27"/>
  <c r="K61" i="27"/>
  <c r="K60" i="27"/>
  <c r="K59" i="27"/>
  <c r="L56" i="27"/>
  <c r="L55" i="27"/>
  <c r="L54" i="27"/>
  <c r="I61" i="27"/>
  <c r="I60" i="27"/>
  <c r="I59" i="27"/>
  <c r="J56" i="27"/>
  <c r="J55" i="27"/>
  <c r="J54" i="27"/>
  <c r="G61" i="27"/>
  <c r="G60" i="27"/>
  <c r="G59" i="27"/>
  <c r="H56" i="27"/>
  <c r="H55" i="27"/>
  <c r="I44" i="27"/>
  <c r="I45" i="27"/>
  <c r="G43" i="27"/>
  <c r="G45" i="27"/>
  <c r="G42" i="27"/>
  <c r="H36" i="19"/>
  <c r="H39" i="19"/>
  <c r="H38" i="19"/>
  <c r="M38" i="27"/>
  <c r="N38" i="27" s="1"/>
  <c r="M37" i="27"/>
  <c r="N37" i="27" s="1"/>
  <c r="M35" i="27"/>
  <c r="N35" i="27" s="1"/>
  <c r="M34" i="27"/>
  <c r="N34" i="27" s="1"/>
  <c r="M33" i="27"/>
  <c r="N33" i="27" s="1"/>
  <c r="M32" i="27"/>
  <c r="N32" i="27" s="1"/>
  <c r="M31" i="27"/>
  <c r="N31" i="27" s="1"/>
  <c r="M29" i="27"/>
  <c r="N29" i="27" s="1"/>
  <c r="M28" i="27"/>
  <c r="N28" i="27" s="1"/>
  <c r="M27" i="27"/>
  <c r="N27" i="27" s="1"/>
  <c r="M26" i="27"/>
  <c r="N26" i="27" s="1"/>
  <c r="M25" i="27"/>
  <c r="N25" i="27" s="1"/>
  <c r="M24" i="27"/>
  <c r="N24" i="27" s="1"/>
  <c r="M23" i="27"/>
  <c r="N23" i="27" s="1"/>
  <c r="M21" i="27"/>
  <c r="N21" i="27" s="1"/>
  <c r="M20" i="27"/>
  <c r="N20" i="27" s="1"/>
  <c r="M19" i="27"/>
  <c r="N19" i="27" s="1"/>
  <c r="M18" i="27"/>
  <c r="N18" i="27" s="1"/>
  <c r="M17" i="27"/>
  <c r="N17" i="27" s="1"/>
  <c r="M16" i="27"/>
  <c r="N16" i="27" s="1"/>
  <c r="M15" i="27"/>
  <c r="N15" i="27" s="1"/>
  <c r="M13" i="27"/>
  <c r="N13" i="27" s="1"/>
  <c r="K38" i="27"/>
  <c r="L38" i="27" s="1"/>
  <c r="K37" i="27"/>
  <c r="L37" i="27" s="1"/>
  <c r="K35" i="27"/>
  <c r="L35" i="27" s="1"/>
  <c r="K34" i="27"/>
  <c r="L34" i="27" s="1"/>
  <c r="K33" i="27"/>
  <c r="L33" i="27" s="1"/>
  <c r="K32" i="27"/>
  <c r="L32" i="27" s="1"/>
  <c r="K31" i="27"/>
  <c r="L31" i="27" s="1"/>
  <c r="K29" i="27"/>
  <c r="L29" i="27" s="1"/>
  <c r="K28" i="27"/>
  <c r="L28" i="27" s="1"/>
  <c r="K27" i="27"/>
  <c r="L27" i="27" s="1"/>
  <c r="K26" i="27"/>
  <c r="L26" i="27" s="1"/>
  <c r="K25" i="27"/>
  <c r="L25" i="27" s="1"/>
  <c r="K24" i="27"/>
  <c r="L24" i="27" s="1"/>
  <c r="K23" i="27"/>
  <c r="L23" i="27" s="1"/>
  <c r="K21" i="27"/>
  <c r="L21" i="27" s="1"/>
  <c r="K20" i="27"/>
  <c r="L20" i="27" s="1"/>
  <c r="K19" i="27"/>
  <c r="L19" i="27" s="1"/>
  <c r="K18" i="27"/>
  <c r="L18" i="27" s="1"/>
  <c r="K17" i="27"/>
  <c r="L17" i="27" s="1"/>
  <c r="K16" i="27"/>
  <c r="L16" i="27" s="1"/>
  <c r="K15" i="27"/>
  <c r="L15" i="27" s="1"/>
  <c r="K14" i="27"/>
  <c r="L14" i="27" s="1"/>
  <c r="K13" i="27"/>
  <c r="L13" i="27" s="1"/>
  <c r="I38" i="27"/>
  <c r="J38" i="27" s="1"/>
  <c r="I37" i="27"/>
  <c r="J37" i="27" s="1"/>
  <c r="I35" i="27"/>
  <c r="J35" i="27" s="1"/>
  <c r="I34" i="27"/>
  <c r="J34" i="27" s="1"/>
  <c r="I33" i="27"/>
  <c r="J33" i="27" s="1"/>
  <c r="I32" i="27"/>
  <c r="J32" i="27" s="1"/>
  <c r="I31" i="27"/>
  <c r="J31" i="27" s="1"/>
  <c r="I29" i="27"/>
  <c r="J29" i="27" s="1"/>
  <c r="I28" i="27"/>
  <c r="J28" i="27" s="1"/>
  <c r="I27" i="27"/>
  <c r="J27" i="27" s="1"/>
  <c r="I26" i="27"/>
  <c r="J26" i="27" s="1"/>
  <c r="I25" i="27"/>
  <c r="J25" i="27" s="1"/>
  <c r="I24" i="27"/>
  <c r="J24" i="27" s="1"/>
  <c r="I23" i="27"/>
  <c r="J23" i="27" s="1"/>
  <c r="I21" i="27"/>
  <c r="J21" i="27" s="1"/>
  <c r="I20" i="27"/>
  <c r="J20" i="27" s="1"/>
  <c r="I19" i="27"/>
  <c r="J19" i="27" s="1"/>
  <c r="I18" i="27"/>
  <c r="J18" i="27" s="1"/>
  <c r="I17" i="27"/>
  <c r="J17" i="27" s="1"/>
  <c r="I16" i="27"/>
  <c r="J16" i="27" s="1"/>
  <c r="I15" i="27"/>
  <c r="J15" i="27" s="1"/>
  <c r="I13" i="27"/>
  <c r="J13" i="27" s="1"/>
  <c r="G38" i="27"/>
  <c r="H38" i="27" s="1"/>
  <c r="G37" i="27"/>
  <c r="H37" i="27" s="1"/>
  <c r="G35" i="27"/>
  <c r="H35" i="27" s="1"/>
  <c r="G34" i="27"/>
  <c r="H34" i="27" s="1"/>
  <c r="G33" i="27"/>
  <c r="H33" i="27" s="1"/>
  <c r="G32" i="27"/>
  <c r="H32" i="27" s="1"/>
  <c r="G31" i="27"/>
  <c r="H31" i="27" s="1"/>
  <c r="G29" i="27"/>
  <c r="H29" i="27" s="1"/>
  <c r="G28" i="27"/>
  <c r="H28" i="27" s="1"/>
  <c r="G27" i="27"/>
  <c r="H27" i="27" s="1"/>
  <c r="G26" i="27"/>
  <c r="H26" i="27" s="1"/>
  <c r="G25" i="27"/>
  <c r="H25" i="27" s="1"/>
  <c r="G24" i="27"/>
  <c r="H24" i="27" s="1"/>
  <c r="G23" i="27"/>
  <c r="H23" i="27" s="1"/>
  <c r="G21" i="27"/>
  <c r="H21" i="27" s="1"/>
  <c r="G20" i="27"/>
  <c r="H20" i="27" s="1"/>
  <c r="G19" i="27"/>
  <c r="H19" i="27" s="1"/>
  <c r="G18" i="27"/>
  <c r="H18" i="27" s="1"/>
  <c r="G17" i="27"/>
  <c r="H17" i="27" s="1"/>
  <c r="G16" i="27"/>
  <c r="H16" i="27" s="1"/>
  <c r="G15" i="27"/>
  <c r="H15" i="27" s="1"/>
  <c r="G14" i="27"/>
  <c r="H14" i="27" s="1"/>
  <c r="G13" i="27"/>
  <c r="H13" i="27" s="1"/>
  <c r="C18" i="22"/>
  <c r="D18" i="22" s="1"/>
  <c r="F18" i="22" s="1"/>
  <c r="E46" i="12"/>
  <c r="F39" i="12"/>
  <c r="F41" i="12" s="1"/>
  <c r="G39" i="12"/>
  <c r="H40" i="12"/>
  <c r="G41" i="12"/>
  <c r="H41" i="12" s="1"/>
  <c r="H42" i="12" s="1"/>
  <c r="F42" i="12"/>
  <c r="G42" i="12"/>
  <c r="K43" i="12"/>
  <c r="K8" i="12"/>
  <c r="K10" i="12"/>
  <c r="J13" i="12"/>
  <c r="N44" i="27"/>
  <c r="M44" i="27" s="1"/>
  <c r="L44" i="27"/>
  <c r="C28" i="2"/>
  <c r="C22" i="2"/>
  <c r="C14" i="2"/>
  <c r="K12" i="12" l="1"/>
  <c r="K19" i="12" s="1"/>
  <c r="D58" i="27"/>
  <c r="D44" i="27"/>
  <c r="D48" i="27" s="1"/>
  <c r="D50" i="27" s="1"/>
  <c r="E53" i="27" s="1"/>
  <c r="E48" i="27"/>
  <c r="E50" i="27" s="1"/>
  <c r="G58" i="27"/>
  <c r="I58" i="27"/>
  <c r="M58" i="27"/>
  <c r="K58" i="27"/>
  <c r="L57" i="27"/>
  <c r="N57" i="27"/>
  <c r="H36" i="27"/>
  <c r="H12" i="27"/>
  <c r="H30" i="27"/>
  <c r="H22" i="27"/>
  <c r="J30" i="27"/>
  <c r="D67" i="33"/>
  <c r="D73" i="33" s="1"/>
  <c r="D77" i="33" s="1"/>
  <c r="B77" i="33"/>
  <c r="L36" i="27"/>
  <c r="K44" i="27"/>
  <c r="J48" i="27"/>
  <c r="I48" i="27"/>
  <c r="M43" i="27"/>
  <c r="F34" i="19"/>
  <c r="I34" i="19" s="1"/>
  <c r="J36" i="27"/>
  <c r="F33" i="19"/>
  <c r="I33" i="19" s="1"/>
  <c r="J22" i="27"/>
  <c r="L12" i="27"/>
  <c r="L22" i="27"/>
  <c r="L30" i="27"/>
  <c r="N22" i="27"/>
  <c r="N30" i="27"/>
  <c r="N36" i="27"/>
  <c r="G36" i="27"/>
  <c r="K36" i="27"/>
  <c r="M14" i="27"/>
  <c r="I14" i="27"/>
  <c r="I36" i="27"/>
  <c r="M30" i="27"/>
  <c r="M22" i="27"/>
  <c r="M36" i="27"/>
  <c r="G30" i="27"/>
  <c r="I30" i="27"/>
  <c r="G12" i="27"/>
  <c r="I22" i="27"/>
  <c r="K22" i="27"/>
  <c r="K12" i="27"/>
  <c r="K30" i="27"/>
  <c r="G22" i="27"/>
  <c r="C31" i="2"/>
  <c r="H57" i="27" l="1"/>
  <c r="K20" i="12"/>
  <c r="K18" i="12"/>
  <c r="J57" i="27"/>
  <c r="K21" i="12"/>
  <c r="E57" i="27"/>
  <c r="D62" i="27" s="1"/>
  <c r="D64" i="27" s="1"/>
  <c r="G6" i="25" s="1"/>
  <c r="J6" i="25" s="1"/>
  <c r="H39" i="27"/>
  <c r="L39" i="27"/>
  <c r="F36" i="19"/>
  <c r="I36" i="19" s="1"/>
  <c r="I12" i="27"/>
  <c r="I39" i="27" s="1"/>
  <c r="I50" i="27" s="1"/>
  <c r="J53" i="27" s="1"/>
  <c r="J14" i="27"/>
  <c r="J12" i="27" s="1"/>
  <c r="J39" i="27" s="1"/>
  <c r="J50" i="27" s="1"/>
  <c r="M12" i="27"/>
  <c r="M39" i="27" s="1"/>
  <c r="N14" i="27"/>
  <c r="N12" i="27" s="1"/>
  <c r="N39" i="27" s="1"/>
  <c r="F37" i="19"/>
  <c r="I37" i="19" s="1"/>
  <c r="F32" i="19"/>
  <c r="I32" i="19" s="1"/>
  <c r="I31" i="19" s="1"/>
  <c r="K39" i="27"/>
  <c r="G39" i="27"/>
  <c r="L45" i="27"/>
  <c r="C78" i="33" l="1"/>
  <c r="C79" i="33" s="1"/>
  <c r="B78" i="33"/>
  <c r="B79" i="33" s="1"/>
  <c r="D78" i="33"/>
  <c r="D79" i="33" s="1"/>
  <c r="E78" i="33"/>
  <c r="E79" i="33" s="1"/>
  <c r="I35" i="19"/>
  <c r="I41" i="19" s="1"/>
  <c r="J33" i="19" s="1"/>
  <c r="N45" i="27"/>
  <c r="N48" i="27" s="1"/>
  <c r="N50" i="27" s="1"/>
  <c r="F23" i="19"/>
  <c r="I23" i="19" s="1"/>
  <c r="I62" i="27"/>
  <c r="I64" i="27" s="1"/>
  <c r="H48" i="27"/>
  <c r="H50" i="27" s="1"/>
  <c r="G44" i="27"/>
  <c r="G48" i="27" s="1"/>
  <c r="G50" i="27" s="1"/>
  <c r="H53" i="27" s="1"/>
  <c r="G62" i="27" s="1"/>
  <c r="G64" i="27" s="1"/>
  <c r="G7" i="25" s="1"/>
  <c r="K45" i="27"/>
  <c r="K48" i="27" s="1"/>
  <c r="K50" i="27" s="1"/>
  <c r="L53" i="27" s="1"/>
  <c r="L48" i="27"/>
  <c r="L50" i="27" s="1"/>
  <c r="F22" i="19" l="1"/>
  <c r="I22" i="19" s="1"/>
  <c r="F39" i="19"/>
  <c r="I39" i="19" s="1"/>
  <c r="J39" i="19" s="1"/>
  <c r="J16" i="25"/>
  <c r="J15" i="25"/>
  <c r="F38" i="19"/>
  <c r="I38" i="19" s="1"/>
  <c r="F6" i="19"/>
  <c r="I6" i="19" s="1"/>
  <c r="M45" i="27"/>
  <c r="M48" i="27" s="1"/>
  <c r="M50" i="27" s="1"/>
  <c r="N53" i="27" s="1"/>
  <c r="M62" i="27" s="1"/>
  <c r="M64" i="27" s="1"/>
  <c r="J41" i="19"/>
  <c r="I43" i="19"/>
  <c r="E38" i="22" s="1"/>
  <c r="J38" i="19"/>
  <c r="J32" i="19"/>
  <c r="J36" i="19"/>
  <c r="J37" i="19"/>
  <c r="J34" i="19"/>
  <c r="J7" i="25"/>
  <c r="J5" i="25" s="1"/>
  <c r="F11" i="19"/>
  <c r="I11" i="19" s="1"/>
  <c r="K62" i="27"/>
  <c r="K64" i="27" s="1"/>
  <c r="J18" i="25"/>
  <c r="F19" i="19" l="1"/>
  <c r="I19" i="19" s="1"/>
  <c r="F13" i="19"/>
  <c r="I13" i="19" s="1"/>
  <c r="F17" i="19"/>
  <c r="I17" i="19" s="1"/>
  <c r="F10" i="19"/>
  <c r="I10" i="19" s="1"/>
  <c r="F9" i="19"/>
  <c r="I9" i="19" s="1"/>
  <c r="J31" i="19"/>
  <c r="F20" i="19"/>
  <c r="I20" i="19" s="1"/>
  <c r="I38" i="22"/>
  <c r="G16" i="22"/>
  <c r="G18" i="22" s="1"/>
  <c r="F21" i="19"/>
  <c r="I21" i="19" s="1"/>
  <c r="J35" i="19"/>
  <c r="H38" i="22"/>
  <c r="I16" i="22"/>
  <c r="F38" i="22"/>
  <c r="C38" i="22"/>
  <c r="D38" i="22"/>
  <c r="J38" i="22"/>
  <c r="G38" i="22"/>
  <c r="H16" i="22"/>
  <c r="J16" i="22"/>
  <c r="F16" i="19"/>
  <c r="I16" i="19" s="1"/>
  <c r="F14" i="19"/>
  <c r="I14" i="19" s="1"/>
  <c r="F15" i="19"/>
  <c r="I15" i="19" s="1"/>
  <c r="F8" i="19"/>
  <c r="I8" i="19" s="1"/>
  <c r="F12" i="19"/>
  <c r="I12" i="19" s="1"/>
  <c r="F7" i="19"/>
  <c r="C12" i="22" l="1"/>
  <c r="C20" i="22" s="1"/>
  <c r="C22" i="22" s="1"/>
  <c r="H18" i="22"/>
  <c r="I18" i="22" s="1"/>
  <c r="J18" i="22" s="1"/>
  <c r="C40" i="22" s="1"/>
  <c r="D40" i="22" s="1"/>
  <c r="E40" i="22" s="1"/>
  <c r="F40" i="22" s="1"/>
  <c r="G40" i="22" s="1"/>
  <c r="H40" i="22" s="1"/>
  <c r="I40" i="22" s="1"/>
  <c r="J40" i="22" s="1"/>
  <c r="I18" i="19"/>
  <c r="J8" i="25"/>
  <c r="I7" i="19"/>
  <c r="I5" i="19" s="1"/>
  <c r="H34" i="22"/>
  <c r="H42" i="22" s="1"/>
  <c r="G34" i="22"/>
  <c r="G42" i="22" s="1"/>
  <c r="F34" i="22"/>
  <c r="F42" i="22" s="1"/>
  <c r="I12" i="22"/>
  <c r="I20" i="22" s="1"/>
  <c r="E34" i="22"/>
  <c r="E42" i="22" s="1"/>
  <c r="J12" i="22"/>
  <c r="J20" i="22" s="1"/>
  <c r="D34" i="22"/>
  <c r="D42" i="22" s="1"/>
  <c r="G12" i="22"/>
  <c r="G20" i="22" s="1"/>
  <c r="C34" i="22"/>
  <c r="C42" i="22" s="1"/>
  <c r="D12" i="22"/>
  <c r="D20" i="22" s="1"/>
  <c r="J34" i="22"/>
  <c r="J42" i="22" s="1"/>
  <c r="F12" i="22"/>
  <c r="F20" i="22" s="1"/>
  <c r="I34" i="22"/>
  <c r="I42" i="22" s="1"/>
  <c r="H12" i="22"/>
  <c r="H20" i="22" s="1"/>
  <c r="J17" i="25"/>
  <c r="K8" i="25" l="1"/>
  <c r="K6" i="25"/>
  <c r="J14" i="25"/>
  <c r="D22" i="22"/>
  <c r="F22" i="22" s="1"/>
  <c r="G22" i="22" s="1"/>
  <c r="H22" i="22" s="1"/>
  <c r="I22" i="22" s="1"/>
  <c r="J22" i="22" s="1"/>
  <c r="C44" i="22" s="1"/>
  <c r="D44" i="22" s="1"/>
  <c r="E44" i="22" s="1"/>
  <c r="F44" i="22" s="1"/>
  <c r="G44" i="22" s="1"/>
  <c r="H44" i="22" s="1"/>
  <c r="I44" i="22" s="1"/>
  <c r="J44" i="22" s="1"/>
  <c r="G21" i="22" s="1"/>
  <c r="C14" i="22"/>
  <c r="D14" i="22" s="1"/>
  <c r="F14" i="22" s="1"/>
  <c r="G14" i="22" s="1"/>
  <c r="H14" i="22" s="1"/>
  <c r="I14" i="22" s="1"/>
  <c r="J14" i="22" s="1"/>
  <c r="C36" i="22" s="1"/>
  <c r="D36" i="22" s="1"/>
  <c r="E36" i="22" s="1"/>
  <c r="F36" i="22" s="1"/>
  <c r="G36" i="22" s="1"/>
  <c r="H36" i="22" s="1"/>
  <c r="I36" i="22" s="1"/>
  <c r="J36" i="22" s="1"/>
  <c r="I25" i="19"/>
  <c r="L23" i="26" l="1"/>
  <c r="M23" i="26"/>
  <c r="N23" i="26"/>
  <c r="C23" i="26"/>
  <c r="C25" i="26" s="1"/>
  <c r="E23" i="26"/>
  <c r="J23" i="26"/>
  <c r="F23" i="26"/>
  <c r="I23" i="26"/>
  <c r="K23" i="26"/>
  <c r="D23" i="26"/>
  <c r="H23" i="26"/>
  <c r="G23" i="26"/>
  <c r="J20" i="25"/>
  <c r="K7" i="25"/>
  <c r="K5" i="25" s="1"/>
  <c r="J10" i="25"/>
  <c r="C43" i="22"/>
  <c r="C35" i="22"/>
  <c r="G39" i="22"/>
  <c r="F35" i="22"/>
  <c r="J13" i="22"/>
  <c r="G43" i="22"/>
  <c r="J39" i="22"/>
  <c r="H39" i="22"/>
  <c r="I39" i="22"/>
  <c r="E35" i="22"/>
  <c r="G13" i="22"/>
  <c r="I17" i="22"/>
  <c r="J21" i="22"/>
  <c r="C21" i="22"/>
  <c r="D17" i="22"/>
  <c r="E39" i="22"/>
  <c r="H21" i="22"/>
  <c r="D35" i="22"/>
  <c r="D21" i="22"/>
  <c r="H35" i="22"/>
  <c r="F13" i="22"/>
  <c r="H17" i="22"/>
  <c r="D39" i="22"/>
  <c r="D13" i="22"/>
  <c r="G35" i="22"/>
  <c r="C23" i="22"/>
  <c r="C17" i="22"/>
  <c r="C19" i="22" s="1"/>
  <c r="E43" i="22"/>
  <c r="G17" i="22"/>
  <c r="F39" i="22"/>
  <c r="C13" i="22"/>
  <c r="C15" i="22" s="1"/>
  <c r="J35" i="22"/>
  <c r="F17" i="22"/>
  <c r="C39" i="22"/>
  <c r="I35" i="22"/>
  <c r="H43" i="22"/>
  <c r="I43" i="22"/>
  <c r="F43" i="22"/>
  <c r="F21" i="22"/>
  <c r="H13" i="22"/>
  <c r="J43" i="22"/>
  <c r="I13" i="22"/>
  <c r="J17" i="22"/>
  <c r="D43" i="22"/>
  <c r="I21" i="22"/>
  <c r="J16" i="19"/>
  <c r="J22" i="19"/>
  <c r="I27" i="19"/>
  <c r="I45" i="19" s="1"/>
  <c r="J12" i="19"/>
  <c r="J9" i="19"/>
  <c r="J23" i="19"/>
  <c r="J17" i="19"/>
  <c r="J21" i="19"/>
  <c r="J14" i="19"/>
  <c r="J15" i="19"/>
  <c r="J13" i="19"/>
  <c r="J7" i="19"/>
  <c r="J8" i="19"/>
  <c r="J20" i="19"/>
  <c r="J25" i="19"/>
  <c r="J11" i="19"/>
  <c r="J19" i="19"/>
  <c r="J10" i="19"/>
  <c r="J6" i="19"/>
  <c r="D19" i="26" l="1"/>
  <c r="E19" i="26"/>
  <c r="F19" i="26"/>
  <c r="G19" i="26"/>
  <c r="I19" i="26"/>
  <c r="J19" i="26"/>
  <c r="H19" i="26"/>
  <c r="K19" i="26"/>
  <c r="C19" i="26"/>
  <c r="L19" i="26"/>
  <c r="N19" i="26"/>
  <c r="M19" i="26"/>
  <c r="D25" i="26"/>
  <c r="E25" i="26" s="1"/>
  <c r="F25" i="26" s="1"/>
  <c r="G25" i="26" s="1"/>
  <c r="H25" i="26" s="1"/>
  <c r="I25" i="26" s="1"/>
  <c r="J25" i="26" s="1"/>
  <c r="K25" i="26" s="1"/>
  <c r="L25" i="26" s="1"/>
  <c r="M25" i="26" s="1"/>
  <c r="N25" i="26" s="1"/>
  <c r="K20" i="25"/>
  <c r="K15" i="25"/>
  <c r="K18" i="25"/>
  <c r="K16" i="25"/>
  <c r="J22" i="25"/>
  <c r="J24" i="25" s="1"/>
  <c r="K17" i="25"/>
  <c r="D15" i="22"/>
  <c r="F15" i="22" s="1"/>
  <c r="G15" i="22" s="1"/>
  <c r="H15" i="22" s="1"/>
  <c r="I15" i="22" s="1"/>
  <c r="J15" i="22" s="1"/>
  <c r="C37" i="22" s="1"/>
  <c r="D37" i="22" s="1"/>
  <c r="E37" i="22" s="1"/>
  <c r="F37" i="22" s="1"/>
  <c r="G37" i="22" s="1"/>
  <c r="H37" i="22" s="1"/>
  <c r="I37" i="22" s="1"/>
  <c r="J37" i="22" s="1"/>
  <c r="D19" i="22"/>
  <c r="F19" i="22" s="1"/>
  <c r="G19" i="22" s="1"/>
  <c r="H19" i="22" s="1"/>
  <c r="I19" i="22" s="1"/>
  <c r="J19" i="22" s="1"/>
  <c r="C41" i="22" s="1"/>
  <c r="D41" i="22" s="1"/>
  <c r="E41" i="22" s="1"/>
  <c r="F41" i="22" s="1"/>
  <c r="G41" i="22" s="1"/>
  <c r="H41" i="22" s="1"/>
  <c r="I41" i="22" s="1"/>
  <c r="J41" i="22" s="1"/>
  <c r="J18" i="19"/>
  <c r="D23" i="22"/>
  <c r="F23" i="22" s="1"/>
  <c r="G23" i="22" s="1"/>
  <c r="H23" i="22" s="1"/>
  <c r="I23" i="22" s="1"/>
  <c r="J23" i="22" s="1"/>
  <c r="C45" i="22" s="1"/>
  <c r="D45" i="22" s="1"/>
  <c r="E45" i="22" s="1"/>
  <c r="F45" i="22" s="1"/>
  <c r="G45" i="22" s="1"/>
  <c r="H45" i="22" s="1"/>
  <c r="I45" i="22" s="1"/>
  <c r="J45" i="22" s="1"/>
  <c r="J5" i="19"/>
  <c r="C27" i="26" l="1"/>
  <c r="C29" i="26" s="1"/>
  <c r="C21" i="26"/>
  <c r="D21" i="26" s="1"/>
  <c r="E21" i="26" s="1"/>
  <c r="F21" i="26" s="1"/>
  <c r="G21" i="26" s="1"/>
  <c r="H21" i="26" s="1"/>
  <c r="I21" i="26" s="1"/>
  <c r="J21" i="26" s="1"/>
  <c r="K21" i="26" s="1"/>
  <c r="L21" i="26" s="1"/>
  <c r="M21" i="26" s="1"/>
  <c r="N21" i="26" s="1"/>
  <c r="I20" i="26" s="1"/>
  <c r="M27" i="26"/>
  <c r="L27" i="26"/>
  <c r="H27" i="26"/>
  <c r="J27" i="26"/>
  <c r="F27" i="26"/>
  <c r="N27" i="26"/>
  <c r="E27" i="26"/>
  <c r="K27" i="26"/>
  <c r="I27" i="26"/>
  <c r="G27" i="26"/>
  <c r="D27" i="26"/>
  <c r="E24" i="26"/>
  <c r="F24" i="26"/>
  <c r="K24" i="26"/>
  <c r="L24" i="26"/>
  <c r="M24" i="26"/>
  <c r="G24" i="26"/>
  <c r="I24" i="26"/>
  <c r="H24" i="26"/>
  <c r="C24" i="26"/>
  <c r="C26" i="26" s="1"/>
  <c r="N24" i="26"/>
  <c r="J24" i="26"/>
  <c r="D24" i="26"/>
  <c r="K14" i="25"/>
  <c r="K20" i="26" l="1"/>
  <c r="E20" i="26"/>
  <c r="N20" i="26"/>
  <c r="F20" i="26"/>
  <c r="J20" i="26"/>
  <c r="D29" i="26"/>
  <c r="E29" i="26" s="1"/>
  <c r="F29" i="26" s="1"/>
  <c r="G29" i="26" s="1"/>
  <c r="H29" i="26" s="1"/>
  <c r="I29" i="26" s="1"/>
  <c r="J29" i="26" s="1"/>
  <c r="K29" i="26" s="1"/>
  <c r="L29" i="26" s="1"/>
  <c r="M29" i="26" s="1"/>
  <c r="N29" i="26" s="1"/>
  <c r="M28" i="26" s="1"/>
  <c r="H20" i="26"/>
  <c r="L20" i="26"/>
  <c r="C20" i="26"/>
  <c r="C22" i="26" s="1"/>
  <c r="D20" i="26"/>
  <c r="M20" i="26"/>
  <c r="G20" i="26"/>
  <c r="D26" i="26"/>
  <c r="E26" i="26" s="1"/>
  <c r="F26" i="26" s="1"/>
  <c r="G26" i="26" s="1"/>
  <c r="H26" i="26" s="1"/>
  <c r="I26" i="26" s="1"/>
  <c r="J26" i="26" s="1"/>
  <c r="K26" i="26" s="1"/>
  <c r="L26" i="26" s="1"/>
  <c r="M26" i="26" s="1"/>
  <c r="N26" i="26" s="1"/>
  <c r="D22" i="26" l="1"/>
  <c r="E22" i="26" s="1"/>
  <c r="F22" i="26" s="1"/>
  <c r="G22" i="26" s="1"/>
  <c r="H22" i="26" s="1"/>
  <c r="I22" i="26" s="1"/>
  <c r="J22" i="26" s="1"/>
  <c r="K22" i="26" s="1"/>
  <c r="L22" i="26" s="1"/>
  <c r="M22" i="26" s="1"/>
  <c r="N22" i="26" s="1"/>
  <c r="D28" i="26"/>
  <c r="I28" i="26"/>
  <c r="C28" i="26"/>
  <c r="C30" i="26" s="1"/>
  <c r="K28" i="26"/>
  <c r="J28" i="26"/>
  <c r="L28" i="26"/>
  <c r="N28" i="26"/>
  <c r="G28" i="26"/>
  <c r="H28" i="26"/>
  <c r="E28" i="26"/>
  <c r="F28" i="26"/>
  <c r="D30" i="26" l="1"/>
  <c r="E30" i="26" s="1"/>
  <c r="F30" i="26" s="1"/>
  <c r="G30" i="26" s="1"/>
  <c r="H30" i="26" s="1"/>
  <c r="I30" i="26" s="1"/>
  <c r="J30" i="26" s="1"/>
  <c r="K30" i="26" s="1"/>
  <c r="L30" i="26" s="1"/>
  <c r="M30" i="26" s="1"/>
  <c r="N30" i="26" s="1"/>
</calcChain>
</file>

<file path=xl/sharedStrings.xml><?xml version="1.0" encoding="utf-8"?>
<sst xmlns="http://schemas.openxmlformats.org/spreadsheetml/2006/main" count="750" uniqueCount="422">
  <si>
    <t>CONTRATAÇÃO DE PESSOA JURÍDICA ESPECIALIZADA NA PRESTAÇÃO DE SERVIÇOS DE ASSESSORIA NA IMPLEMENTAÇÃO DO SUBPROGRAMA 11.1 - PLANEJAMENTO E IMPLEMENTAÇÃO DE AÇÕES DE CAPACITAÇÃO E EDUCAÇÃO AMBIENTAL NO TERRITÓRIO DA BACIA HIDROGRÁFICA DO RIO DOCE</t>
  </si>
  <si>
    <t>EQUIPE PERMANENTE</t>
  </si>
  <si>
    <t>PAINEL 2 - COMPOSIÇÃO DE CUSTOS | LOTE 2 CH DO2 PIRACICABA</t>
  </si>
  <si>
    <t>CUSTOS FIXOS POR EQUIPE</t>
  </si>
  <si>
    <t>ITEM</t>
  </si>
  <si>
    <t>CÓDIGO</t>
  </si>
  <si>
    <t>FONTE</t>
  </si>
  <si>
    <t>DATA BASE</t>
  </si>
  <si>
    <t>DESCRIÇÃO</t>
  </si>
  <si>
    <t>CUSTO MENSAL</t>
  </si>
  <si>
    <t>UN.</t>
  </si>
  <si>
    <t>QUANT.</t>
  </si>
  <si>
    <t>CUSTO TOTAL</t>
  </si>
  <si>
    <t>PESO (%)</t>
  </si>
  <si>
    <t>Com K1</t>
  </si>
  <si>
    <t>1.1</t>
  </si>
  <si>
    <t>Coordenador</t>
  </si>
  <si>
    <t>Mês</t>
  </si>
  <si>
    <t>1.2</t>
  </si>
  <si>
    <t>Mobizador Social</t>
  </si>
  <si>
    <t>1.3</t>
  </si>
  <si>
    <t>Técnico Ambiental</t>
  </si>
  <si>
    <t>1.4</t>
  </si>
  <si>
    <t>Auxiliar Administrativo</t>
  </si>
  <si>
    <t>1.5</t>
  </si>
  <si>
    <t>Encarregado Operacional</t>
  </si>
  <si>
    <t>1.6</t>
  </si>
  <si>
    <t>Motorista</t>
  </si>
  <si>
    <t>1.8</t>
  </si>
  <si>
    <t>Carpinteiro</t>
  </si>
  <si>
    <t>1.9</t>
  </si>
  <si>
    <t>Ajudante</t>
  </si>
  <si>
    <t>DESPESAS DIVERSAS</t>
  </si>
  <si>
    <t>Com K4</t>
  </si>
  <si>
    <t>2.1</t>
  </si>
  <si>
    <t>Caminhonete 4x4 cabine dupla</t>
  </si>
  <si>
    <t>2.2</t>
  </si>
  <si>
    <t>Caminhão toco com cabine suplementar</t>
  </si>
  <si>
    <t>2.4</t>
  </si>
  <si>
    <t>Compactador de solos</t>
  </si>
  <si>
    <t>2.5</t>
  </si>
  <si>
    <t xml:space="preserve"> -</t>
  </si>
  <si>
    <t>COMPOSIÇÃO</t>
  </si>
  <si>
    <t>Óleo Diesel S10</t>
  </si>
  <si>
    <t>2.6</t>
  </si>
  <si>
    <t>Óleo Diesel S500</t>
  </si>
  <si>
    <t>CUSTO FIXO TOTAL POR EQUIPE</t>
  </si>
  <si>
    <t>NÚMERO DE EQUIPES</t>
  </si>
  <si>
    <t>-</t>
  </si>
  <si>
    <t>CUSTO FIXO TOTAL</t>
  </si>
  <si>
    <t>CUSTOS VARIÁVEIS POR EQUIPE</t>
  </si>
  <si>
    <t>ÓRGÃO</t>
  </si>
  <si>
    <t>CUSTO UNITÁRIO</t>
  </si>
  <si>
    <t>SERVIÇOS TÉCNICOS</t>
  </si>
  <si>
    <t>Com K3</t>
  </si>
  <si>
    <t>3.1</t>
  </si>
  <si>
    <t>Técnico em Geoprocessamento</t>
  </si>
  <si>
    <t>hora</t>
  </si>
  <si>
    <t>3.2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</si>
  <si>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</si>
  <si>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</si>
  <si>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3.3</t>
  </si>
  <si>
    <t>Execução de Filmagem com Drone</t>
  </si>
  <si>
    <t>4.2</t>
  </si>
  <si>
    <t>SINAPI</t>
  </si>
  <si>
    <t>Locação de Trator</t>
  </si>
  <si>
    <t>4.3</t>
  </si>
  <si>
    <t>Impressão preto e branco</t>
  </si>
  <si>
    <t>unidade</t>
  </si>
  <si>
    <t>4.4</t>
  </si>
  <si>
    <t>Diárias</t>
  </si>
  <si>
    <t>4.5</t>
  </si>
  <si>
    <t>Refeições</t>
  </si>
  <si>
    <t>CUSTO VARIÁVEL TOTAL POR EQUIPE</t>
  </si>
  <si>
    <t>CUSTO VARIÁVEL TOTAL</t>
  </si>
  <si>
    <t>CUSTO TOTAL DO PROJETO</t>
  </si>
  <si>
    <t>PAINEL 3 - CRONOGRAMA FÍSICO-FINANCEIRO | LOTE 2 CH DO2 PIRACICABA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</si>
  <si>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</si>
  <si>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</si>
  <si>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</si>
  <si>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</si>
  <si>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</si>
  <si>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</si>
  <si>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</si>
  <si>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</si>
  <si>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</si>
  <si>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</si>
  <si>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</si>
  <si>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</si>
  <si>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OS</t>
  </si>
  <si>
    <t>Recomposição das UGPs</t>
  </si>
  <si>
    <t>Planejamento</t>
  </si>
  <si>
    <t>P1</t>
  </si>
  <si>
    <t>B</t>
  </si>
  <si>
    <t>Emissão da OS**</t>
  </si>
  <si>
    <t>Mobilização Social</t>
  </si>
  <si>
    <t>P2</t>
  </si>
  <si>
    <t>Execução das Intervenções</t>
  </si>
  <si>
    <t>P3</t>
  </si>
  <si>
    <t>C</t>
  </si>
  <si>
    <t>Fiscalização</t>
  </si>
  <si>
    <t>CUSTOS FIXOS</t>
  </si>
  <si>
    <t>MENSAL</t>
  </si>
  <si>
    <t>% em relação ao total</t>
  </si>
  <si>
    <t>ACUMULADO</t>
  </si>
  <si>
    <t>% acumulado</t>
  </si>
  <si>
    <t>CUSTOS VARIÁVEIS*</t>
  </si>
  <si>
    <t xml:space="preserve">MENSAL </t>
  </si>
  <si>
    <t>TOTAL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</si>
  <si>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</si>
  <si>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</si>
  <si>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</si>
  <si>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</si>
  <si>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</si>
  <si>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</si>
  <si>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</si>
  <si>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</si>
  <si>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P1 Ajustado</t>
  </si>
  <si>
    <t>*O uso dos custos variáveis deverá ser previamente solicitado pela CONTRATADA e autorizado pela AGEDOCE. Desse modo, durante o projeto, o desembolso desses custos poderá ser alterado.</t>
  </si>
  <si>
    <t>DNIT</t>
  </si>
  <si>
    <t>Assessor</t>
  </si>
  <si>
    <t>E9684</t>
  </si>
  <si>
    <t>Veículo leve picape 4 x 4 com capacidade de 1,10 t - 147 kW</t>
  </si>
  <si>
    <t>Período</t>
  </si>
  <si>
    <t>Encerramento do Contrato</t>
  </si>
  <si>
    <t>P1 -Plano de Trabalho</t>
  </si>
  <si>
    <t xml:space="preserve">P2 - Diagnóstico </t>
  </si>
  <si>
    <t>P3 - Relatório Mensal 2</t>
  </si>
  <si>
    <t>P4 - Relatório Mensal 3</t>
  </si>
  <si>
    <t>P4</t>
  </si>
  <si>
    <t>P5 - Relatório Mensal 4</t>
  </si>
  <si>
    <t>P5</t>
  </si>
  <si>
    <t>P6 - Relatório Mensal 5</t>
  </si>
  <si>
    <t>P6</t>
  </si>
  <si>
    <t>P7 - Relatório Mensal 6</t>
  </si>
  <si>
    <t>P7</t>
  </si>
  <si>
    <t>P8 - Relatório Mensal 7</t>
  </si>
  <si>
    <t>P8</t>
  </si>
  <si>
    <t>P9 - Relatório Mensal 8</t>
  </si>
  <si>
    <t>P9</t>
  </si>
  <si>
    <t>P10 - Relatório Mensal 9</t>
  </si>
  <si>
    <t>P10</t>
  </si>
  <si>
    <t>P113 - Relatório Mensal 10</t>
  </si>
  <si>
    <t>P11</t>
  </si>
  <si>
    <t>P12 - Relatório Mensal 11</t>
  </si>
  <si>
    <t>P12</t>
  </si>
  <si>
    <t>P13 - Relatório Final</t>
  </si>
  <si>
    <t>P13</t>
  </si>
  <si>
    <t>Item</t>
  </si>
  <si>
    <t>1.7</t>
  </si>
  <si>
    <t>Profissional</t>
  </si>
  <si>
    <t>Código</t>
  </si>
  <si>
    <t>P8112</t>
  </si>
  <si>
    <t>P9808</t>
  </si>
  <si>
    <t>P9801</t>
  </si>
  <si>
    <t>Fonte</t>
  </si>
  <si>
    <t>Data Base</t>
  </si>
  <si>
    <t>Salário</t>
  </si>
  <si>
    <t>ENCARGOS</t>
  </si>
  <si>
    <t>ENCARGOS SOCIAIS</t>
  </si>
  <si>
    <t>%</t>
  </si>
  <si>
    <t>R$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</si>
  <si>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</si>
  <si>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</si>
  <si>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</si>
  <si>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</si>
  <si>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</si>
  <si>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</si>
  <si>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</si>
  <si>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</si>
  <si>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</si>
  <si>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</si>
  <si>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</si>
  <si>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</si>
  <si>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</si>
  <si>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</si>
  <si>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</si>
  <si>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</si>
  <si>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</si>
  <si>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</si>
  <si>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</si>
  <si>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</si>
  <si>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</si>
  <si>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</si>
  <si>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</si>
  <si>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</si>
  <si>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</si>
  <si>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</si>
  <si>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</si>
  <si>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</si>
  <si>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</si>
  <si>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</si>
  <si>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</si>
  <si>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</si>
  <si>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</si>
  <si>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</si>
  <si>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</si>
  <si>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</si>
  <si>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</si>
  <si>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</si>
  <si>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</si>
  <si>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</si>
  <si>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</si>
  <si>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</si>
  <si>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</si>
  <si>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</si>
  <si>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</si>
  <si>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</si>
  <si>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</si>
  <si>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</si>
  <si>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</si>
  <si>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</si>
  <si>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</si>
  <si>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</si>
  <si>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</si>
  <si>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</si>
  <si>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</si>
  <si>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ENCARGOS COMPLEMENTARES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</si>
  <si>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</si>
  <si>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</si>
  <si>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</si>
  <si>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</si>
  <si>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</si>
  <si>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</si>
  <si>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</si>
  <si>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</si>
  <si>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</si>
  <si>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</si>
  <si>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</si>
  <si>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</si>
  <si>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</si>
  <si>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</si>
  <si>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FATOR K</t>
  </si>
  <si>
    <t>ES1 - ENCARGOS SOCIAIS</t>
  </si>
  <si>
    <t>ESA - ENCARGOS SOCIAIS SOBRE RPA</t>
  </si>
  <si>
    <t>ARDF - ADMINISTRAÇÃO, RISCO E DESPESAS FINANCEIRAS</t>
  </si>
  <si>
    <t>L - LUCRO</t>
  </si>
  <si>
    <t>DFL - DESPESAS FISCAIS LEGAIS
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</si>
  <si>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</si>
  <si>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</si>
  <si>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</si>
  <si>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</si>
  <si>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</si>
  <si>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ADOTADO</t>
  </si>
  <si>
    <t>GRUPO</t>
  </si>
  <si>
    <t>DEFINIÇÕES</t>
  </si>
  <si>
    <t>A1</t>
  </si>
  <si>
    <t>A2</t>
  </si>
  <si>
    <t>A3</t>
  </si>
  <si>
    <t>SERVIÇO Nacional de Aprendizagem Industrial - SENAI</t>
  </si>
  <si>
    <t>A4</t>
  </si>
  <si>
    <t>A5</t>
  </si>
  <si>
    <t>A6</t>
  </si>
  <si>
    <t>A7</t>
  </si>
  <si>
    <t>A8</t>
  </si>
  <si>
    <t>A9</t>
  </si>
  <si>
    <t>B3</t>
  </si>
  <si>
    <t>B4</t>
  </si>
  <si>
    <t>B5</t>
  </si>
  <si>
    <t>B6</t>
  </si>
  <si>
    <t>B8</t>
  </si>
  <si>
    <t>B9</t>
  </si>
  <si>
    <t>B10</t>
  </si>
  <si>
    <t>C1</t>
  </si>
  <si>
    <t>C2</t>
  </si>
  <si>
    <t>C3</t>
  </si>
  <si>
    <t>C4</t>
  </si>
  <si>
    <t>C5</t>
  </si>
  <si>
    <t>D1</t>
  </si>
  <si>
    <t>D2</t>
  </si>
  <si>
    <t>Reincidência do Grupo A sobre Aviso Prévio Trabalhado e Reincidência do FGTS sobre Aviso Prévio Indenizado</t>
  </si>
  <si>
    <t>ENCARGOS SOCIAIS TOTAIS</t>
  </si>
  <si>
    <t>Equipamento</t>
  </si>
  <si>
    <t>Fator K4</t>
  </si>
  <si>
    <t>PAINEL 9 - DESPESAS DIVERSAS I</t>
  </si>
  <si>
    <t>COMPOSIÇÃO DE EQUIPAMENTOS</t>
  </si>
  <si>
    <t>Caminhonete 4x4 Cabine Dupla</t>
  </si>
  <si>
    <t>Caminhão Toco com Cabine Suplementar</t>
  </si>
  <si>
    <t>Caminhão Toco com Cabine Suplementar equipado com Guindauto</t>
  </si>
  <si>
    <t>Compactador de Solos</t>
  </si>
  <si>
    <t>2.3</t>
  </si>
  <si>
    <t>Subitem 1</t>
  </si>
  <si>
    <t>Caminhonete com motor a diesel, potencia 160 CV, cabine dupla, 4x4</t>
  </si>
  <si>
    <t>Caminhão toco peso bruto total 13200 kg, carga útil máxima 9.200 kg, distância entre eixos 3,31m, potência 175 CV (inclui cabine e chassi, não inclui carroceria)</t>
  </si>
  <si>
    <t>Compactador de solo a percussão (soquete), a gasolina 4 tempos, peso 55 a 65 kg, força de impacto 1.000 a 1.500 kgf, freq. 600 a 700 golpes por minuto, velocidade de trabalho de 10 a 15 m/min, pot. De 2 a 3 HP.</t>
  </si>
  <si>
    <t>Valor</t>
  </si>
  <si>
    <t>Subitem 2</t>
  </si>
  <si>
    <t>Carroceria fixa aberta de madeira para transporte geral de carga seca dimensões aproximadas 2,25 x 4,10 x 0,50 m (inclui montagem, não inclui caminhão)</t>
  </si>
  <si>
    <t>Subitem 3</t>
  </si>
  <si>
    <t>Cabine para transporte de passageiros (06 lugares)</t>
  </si>
  <si>
    <t>Cabine para transporte de passageiros, em alumínio com 
isolamento em isopor, 1000x2000x1600mm</t>
  </si>
  <si>
    <t>Cotação de mercado</t>
  </si>
  <si>
    <t>COPASA</t>
  </si>
  <si>
    <t>Subitem 4</t>
  </si>
  <si>
    <t>Guindauto hidraulico, capacidade maxima de carga 8500 kg, momento maximo de carga 30,4 tm , alcance maximo horizontal 14,30 m, para montagem sobre chassi de caminhao pbt minimo 23000 kg (inclui montagem, nao inclui caminhao)</t>
  </si>
  <si>
    <t>VALOR TOTAL</t>
  </si>
  <si>
    <t>SIMULAÇÃO DE INVESTIMENTO PARA AQUISIÇÃO DO EQUIPAMENTO (FINANCIAMENTO TABELA PRICE*)</t>
  </si>
  <si>
    <t>Situação</t>
  </si>
  <si>
    <t>Nova</t>
  </si>
  <si>
    <t>Custo</t>
  </si>
  <si>
    <t>Parcelas</t>
  </si>
  <si>
    <t>Taxa de Juros</t>
  </si>
  <si>
    <t>Projeção Anual</t>
  </si>
  <si>
    <t>VALOR MENSAL</t>
  </si>
  <si>
    <t>*www.calculador.com.br/calculo/financiamento-price</t>
  </si>
  <si>
    <t>COMPOSIÇÃO CONSIDERANDO CARGA HORÁRIA PRODUTIVA E IMPRODUTIVA - SINAPI</t>
  </si>
  <si>
    <t>MEMÓRIA DE CÁLCULO DOS PARÂMETROS*</t>
  </si>
  <si>
    <t>Depreciação</t>
  </si>
  <si>
    <r>
      <t xml:space="preserve">(Valor de aquisição - Valor residual) </t>
    </r>
    <r>
      <rPr>
        <sz val="8"/>
        <rFont val="Aptos Narrow"/>
        <family val="2"/>
      </rPr>
      <t>÷</t>
    </r>
    <r>
      <rPr>
        <sz val="8"/>
        <rFont val="Arial"/>
        <family val="2"/>
      </rPr>
      <t xml:space="preserve"> (Vida útil * Horas trabalhadas por ano * 1,25)</t>
    </r>
  </si>
  <si>
    <t>Juros</t>
  </si>
  <si>
    <t>(Valor médio * Taxa de juros anuais) ÷ (Horas trabalhadas por ano * 1,25)   |  Valor médio = (Vida útil + 1) * Valor de aquisição ÷ (2 * Vida útil) | Taxa de juros anuais = 3,1501%</t>
  </si>
  <si>
    <t>Impostos e Seguros</t>
  </si>
  <si>
    <t>(Vida útil + 1) * Valor de aquisição * Taxa média adotada ÷ (2 * Vida útil * Horas trabalhadas por ano * 1,25)    |    Taxa média adotada = 0,025</t>
  </si>
  <si>
    <t>Manutenção</t>
  </si>
  <si>
    <t>(Valor de aquisição * Coeficiente de manutenção) / (Horas trabalhadas por ano * vida útil em anos)</t>
  </si>
  <si>
    <t>Custo de Operação (somente filtros e lubrificantes)**</t>
  </si>
  <si>
    <t>(Potência do motor em KW * Coeficiente de consumo * Valor do combustível)      |     1 KW = 1,3587 CV, logo 160 CV = 117,7596 KW e 175 CV=128,7996</t>
  </si>
  <si>
    <t>Custo horário produtivo</t>
  </si>
  <si>
    <t>(Depreciação + Juros + Impostos e Seguros + Manutenção + Custo de Operação)</t>
  </si>
  <si>
    <t>Custo horário improdutivo</t>
  </si>
  <si>
    <t>(Depreciação + Juros + Impostos e Seguros)</t>
  </si>
  <si>
    <t>(Custo horário produtivo * 166,66) + (Custo horário improdutivo * 33,33)</t>
  </si>
  <si>
    <t>Vida útil (anos)</t>
  </si>
  <si>
    <t>Horas Trabalhadas no Ano (HTA)</t>
  </si>
  <si>
    <t>Valor Residual</t>
  </si>
  <si>
    <t>Coeficiente de Manutenção</t>
  </si>
  <si>
    <t>Coeficiente de Consumo</t>
  </si>
  <si>
    <t>Coeficiente de Consumo ajustado**</t>
  </si>
  <si>
    <t>E9308</t>
  </si>
  <si>
    <t>E9107</t>
  </si>
  <si>
    <t>Valor Médio</t>
  </si>
  <si>
    <t>Custo de Operação (somente filtros e lubrificantes)</t>
  </si>
  <si>
    <t>* Cálculo realizado de acordo com os Cadernos SINAPI: Metodologias e Conceitos e SINAPI: Cálculos e Parâmetros.  |   ** O Cálculo do custo de operação, conforme orientações do SINAPI, deve ser calculado com base na metodologia do DNIT. De acordo com o Manual de Custos de Infraestruturas de Transportes - Volume 01: Metodologias e Conceitos do DNIT, o custo com filtros, lubrificantes e graxas de caminhões movidos a óleo diesel geralmente representa 10% sobre o consumo de combustível. Por esta razão, realizou-se o ajuste do coeficiente de consumo para 10% do valor original especificado no DNIT. Isto foi realizado, tendo em vista que o consumo de combustível já foi calculado a parte.</t>
  </si>
  <si>
    <t>COMPOSIÇÃO DO VALOR FINAL DOS EQUIPAMENTOS</t>
  </si>
  <si>
    <t>Simulação de Investimento</t>
  </si>
  <si>
    <t>Composição utilizando Custo Horário</t>
  </si>
  <si>
    <t>APLICAR ENGENHARIA LTDA - LOTE 7*</t>
  </si>
  <si>
    <t>W2 ENGENHARIA LTDA - LOTE 6*</t>
  </si>
  <si>
    <t>APLICAR ENGENHARIA LTDA - LOTE 4*</t>
  </si>
  <si>
    <t>Não se aplica</t>
  </si>
  <si>
    <t>Média Aritmética</t>
  </si>
  <si>
    <t>*Composição realizada com base nas propostas de preço apresentadas no Ato Convocatório nº 13/2023</t>
  </si>
  <si>
    <t>**Na composição do valor do compactador de solos, o valor R$ 1.020,04 (composição com base no custo horário produtivo e improdutivo foi desconsiderado, por estar distoante dos demais valores encontrados</t>
  </si>
  <si>
    <t>*Composição realizada com base na proposta de preço apresentada pela empresa vencedora no Lote 7 do Ato Convocatório nº 13/2023</t>
  </si>
  <si>
    <t>**Composição realizada com base na proposta de preço apresentada pela empresa vencedora no Lote 6 do Ato Convocatório nº 13/2023</t>
  </si>
  <si>
    <t>***Composição realizada com base na proposta de preço apresentada pela empresa vencedora no Lote 4 do Ato Convocatório nº 16/2022</t>
  </si>
  <si>
    <t>****Na composição do valor do compactador de solos, o valor R$ 1.020,04 (composição com base no custo horário produtivo e improdutivo) foi desconsiderado, por estar distoante dos demais valores encontrados</t>
  </si>
  <si>
    <t>Os K's foram calculados através de fórmulas estabelecidas pelo Acórdão 1787/2011. Os parâmetros utilizados foram estabelecidos pela Nota Técnica Conjunta nº 01/2012/SIP/SAF da Agência Nacional de Águas. Os valores para Administração, Risco e Despesas Financeiras, Lucro e Despesas Fiscais e Legais foram estabelecidas com base na análise do BDI x Fator K</t>
  </si>
  <si>
    <t>DETALHAMENTO DO FATOR K</t>
  </si>
  <si>
    <t>ES1 - Encargos Sociais</t>
  </si>
  <si>
    <t>ES2 - Encargos Complementares*</t>
  </si>
  <si>
    <t>ES - Encargos Sociais + Encargos Complementares</t>
  </si>
  <si>
    <t>ESA - Equipe Temporária</t>
  </si>
  <si>
    <t>ARDF - Administração, Risco e Despesas Financeiras</t>
  </si>
  <si>
    <t>L - Lucro</t>
  </si>
  <si>
    <r>
      <t>DFL - Despesas Fiscais e Legais | DFL=(PIS+COFINS+ISS)</t>
    </r>
    <r>
      <rPr>
        <sz val="9"/>
        <color theme="1" tint="0.14999847407452621"/>
        <rFont val="Aptos Narrow"/>
        <family val="2"/>
      </rPr>
      <t>÷</t>
    </r>
    <r>
      <rPr>
        <sz val="9"/>
        <color theme="1" tint="0.14999847407452621"/>
        <rFont val="Arial"/>
        <family val="2"/>
      </rPr>
      <t>(1-PIS+COFINS+ISS)</t>
    </r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</si>
  <si>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</si>
  <si>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</si>
  <si>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</si>
  <si>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</si>
  <si>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</si>
  <si>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</si>
  <si>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</si>
  <si>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</si>
  <si>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</si>
  <si>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</si>
  <si>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</si>
  <si>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</si>
  <si>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</si>
  <si>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</si>
  <si>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</si>
  <si>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</si>
  <si>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</si>
  <si>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NÃO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</si>
  <si>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</si>
  <si>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</si>
  <si>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</si>
  <si>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</si>
  <si>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</si>
  <si>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</si>
  <si>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</si>
  <si>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</si>
  <si>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</si>
  <si>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</si>
  <si>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</si>
  <si>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</si>
  <si>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</si>
  <si>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</si>
  <si>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</si>
  <si>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</si>
  <si>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</si>
  <si>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</si>
  <si>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</si>
  <si>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</si>
  <si>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</si>
  <si>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</si>
  <si>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</si>
  <si>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</si>
  <si>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</si>
  <si>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</si>
  <si>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</si>
  <si>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</si>
  <si>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</si>
  <si>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</si>
  <si>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</si>
  <si>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</si>
  <si>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</si>
  <si>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</si>
  <si>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Assessor de Educação Ambiental</t>
  </si>
  <si>
    <t xml:space="preserve">CUSTOS FIXOS </t>
  </si>
  <si>
    <t xml:space="preserve">CUSTOS VARIÁVEIS </t>
  </si>
  <si>
    <t>*Os pagamentos referentes aos produtos contratados serão realizados somente após a devida aprovação do respectivo Produto pelo Gestor do Contrato, mediante verificação do cumprimento integral das especificações técnicas, prazos e demais condições estabelecidas no Termo de Referência e no Contrato.</t>
  </si>
  <si>
    <r>
      <rPr>
        <b/>
        <sz val="12"/>
        <color rgb="FF000000"/>
        <rFont val="Arial"/>
        <family val="2"/>
      </rPr>
      <t>Processo</t>
    </r>
    <r>
      <rPr>
        <sz val="12"/>
        <color rgb="FF000000"/>
        <rFont val="Arial"/>
        <family val="2"/>
      </rPr>
      <t>: 4.201.04.155225.0363.2025</t>
    </r>
  </si>
  <si>
    <t>EMPRESA: XXXXXXX - CNPJ XXXXXXX</t>
  </si>
  <si>
    <t xml:space="preserve">COMPOSIÇÃO DE CUSTOS </t>
  </si>
  <si>
    <t xml:space="preserve">CRONOGRAMA FÍSICO-FINANCEIRO </t>
  </si>
  <si>
    <t>CÁLCULO DO K DO PROJETO</t>
  </si>
  <si>
    <t>Governador Valadares, MG, xxx de 202x.</t>
  </si>
  <si>
    <t>Carga Horária do Coordenador - 20 horas</t>
  </si>
  <si>
    <t>Carga Horária do Assessor de Educação Ambiental - 40 horas</t>
  </si>
  <si>
    <r>
      <t xml:space="preserve">Referência: </t>
    </r>
    <r>
      <rPr>
        <sz val="12"/>
        <color rgb="FF000000"/>
        <rFont val="Arial"/>
        <family val="2"/>
      </rPr>
      <t>Ato Convocatório nº</t>
    </r>
    <r>
      <rPr>
        <sz val="12"/>
        <rFont val="Arial"/>
        <family val="2"/>
      </rPr>
      <t xml:space="preserve"> 08/2025</t>
    </r>
  </si>
  <si>
    <t xml:space="preserve"> PLANILHA ORÇAMENTÁRIA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</si>
</sst>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_-[$R$-416]\ * #,##0.00_-;\-[$R$-416]\ * #,##0.00_-;_-[$R$-416]\ * &quot;-&quot;??_-;_-@_-"/>
  </numFmts>
  <fonts count="6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rgb="FF262626"/>
      <name val="Arial"/>
      <family val="2"/>
    </font>
    <font>
      <i/>
      <sz val="10"/>
      <color rgb="FF262626"/>
      <name val="Arial"/>
      <family val="2"/>
    </font>
    <font>
      <b/>
      <sz val="10"/>
      <color rgb="FF26262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ptos Narrow"/>
      <family val="2"/>
    </font>
    <font>
      <b/>
      <sz val="12"/>
      <color theme="1" tint="0.14999847407452621"/>
      <name val="Arial"/>
      <family val="2"/>
    </font>
    <font>
      <sz val="12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1"/>
      <color theme="1" tint="0.14999847407452621"/>
      <name val="Arial"/>
      <family val="2"/>
    </font>
    <font>
      <b/>
      <i/>
      <sz val="11"/>
      <color theme="1" tint="0.1499984740745262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10"/>
      <color theme="1" tint="0.14999847407452621"/>
      <name val="Arial"/>
      <family val="2"/>
    </font>
    <font>
      <sz val="9"/>
      <color theme="1" tint="0.14999847407452621"/>
      <name val="Arial"/>
      <family val="2"/>
    </font>
    <font>
      <sz val="9"/>
      <color theme="1" tint="0.14999847407452621"/>
      <name val="Aptos Narrow"/>
      <family val="2"/>
    </font>
    <font>
      <i/>
      <sz val="9"/>
      <color theme="1" tint="0.14999847407452621"/>
      <name val="Arial"/>
      <family val="2"/>
    </font>
    <font>
      <b/>
      <i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b/>
      <i/>
      <sz val="10"/>
      <name val="Arial"/>
      <family val="2"/>
    </font>
    <font>
      <b/>
      <i/>
      <sz val="10"/>
      <color rgb="FF262626"/>
      <name val="Arial"/>
      <family val="2"/>
    </font>
    <font>
      <sz val="10"/>
      <color rgb="FF000000"/>
      <name val="Arial"/>
      <family val="2"/>
    </font>
    <font>
      <b/>
      <sz val="9"/>
      <color rgb="FFFF0000"/>
      <name val="Arial"/>
      <family val="2"/>
    </font>
    <font>
      <i/>
      <sz val="10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rgb="FF242424"/>
      <name val="Aptos Narrow"/>
      <family val="2"/>
    </font>
    <font>
      <b/>
      <sz val="12"/>
      <color theme="0"/>
      <name val="Aptos Narrow"/>
      <family val="2"/>
      <scheme val="minor"/>
    </font>
    <font>
      <b/>
      <sz val="12"/>
      <color theme="1"/>
      <name val="Arial"/>
      <family val="2"/>
      <charset val="1"/>
    </font>
    <font>
      <sz val="12"/>
      <color theme="1"/>
      <name val="Arial"/>
      <family val="2"/>
      <charset val="1"/>
    </font>
  </fonts>
  <fills count="1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rgb="FF000000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</borders>
  <cellStyleXfs count="12">
    <xf numFmtId="0" fontId="0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605">
    <xf numFmtId="0" fontId="0" fillId="0" borderId="0" xfId="0"/>
    <xf numFmtId="0" fontId="11" fillId="7" borderId="29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30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vertical="center"/>
    </xf>
    <xf numFmtId="8" fontId="6" fillId="8" borderId="3" xfId="0" applyNumberFormat="1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justify" vertical="center" wrapText="1"/>
    </xf>
    <xf numFmtId="8" fontId="12" fillId="5" borderId="2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justify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8" fontId="14" fillId="8" borderId="3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 wrapText="1"/>
    </xf>
    <xf numFmtId="8" fontId="12" fillId="0" borderId="2" xfId="0" applyNumberFormat="1" applyFont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right" vertical="center"/>
    </xf>
    <xf numFmtId="8" fontId="14" fillId="8" borderId="2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7" fillId="6" borderId="15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43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4" borderId="18" xfId="0" applyFont="1" applyFill="1" applyBorder="1"/>
    <xf numFmtId="0" fontId="23" fillId="0" borderId="18" xfId="0" applyFont="1" applyBorder="1"/>
    <xf numFmtId="0" fontId="24" fillId="0" borderId="18" xfId="0" applyFont="1" applyBorder="1" applyAlignment="1">
      <alignment vertical="center" wrapText="1"/>
    </xf>
    <xf numFmtId="0" fontId="23" fillId="0" borderId="19" xfId="0" applyFont="1" applyBorder="1"/>
    <xf numFmtId="0" fontId="23" fillId="0" borderId="2" xfId="0" applyFont="1" applyBorder="1" applyAlignment="1">
      <alignment horizontal="left" vertical="center" wrapText="1"/>
    </xf>
    <xf numFmtId="0" fontId="23" fillId="9" borderId="2" xfId="0" applyFont="1" applyFill="1" applyBorder="1"/>
    <xf numFmtId="0" fontId="23" fillId="0" borderId="2" xfId="0" applyFont="1" applyBorder="1"/>
    <xf numFmtId="0" fontId="24" fillId="0" borderId="2" xfId="0" applyFont="1" applyBorder="1" applyAlignment="1">
      <alignment vertical="center" wrapText="1"/>
    </xf>
    <xf numFmtId="0" fontId="23" fillId="0" borderId="20" xfId="0" applyFont="1" applyBorder="1"/>
    <xf numFmtId="0" fontId="25" fillId="9" borderId="2" xfId="0" applyFont="1" applyFill="1" applyBorder="1" applyAlignment="1">
      <alignment horizontal="center" wrapText="1"/>
    </xf>
    <xf numFmtId="0" fontId="23" fillId="4" borderId="2" xfId="0" applyFont="1" applyFill="1" applyBorder="1"/>
    <xf numFmtId="0" fontId="25" fillId="9" borderId="2" xfId="0" applyFont="1" applyFill="1" applyBorder="1" applyAlignment="1">
      <alignment horizontal="center" vertical="center" wrapText="1"/>
    </xf>
    <xf numFmtId="0" fontId="23" fillId="9" borderId="20" xfId="0" applyFont="1" applyFill="1" applyBorder="1"/>
    <xf numFmtId="0" fontId="25" fillId="9" borderId="20" xfId="0" applyFont="1" applyFill="1" applyBorder="1" applyAlignment="1">
      <alignment horizont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9" borderId="16" xfId="0" applyFont="1" applyFill="1" applyBorder="1"/>
    <xf numFmtId="0" fontId="24" fillId="0" borderId="16" xfId="0" applyFont="1" applyBorder="1" applyAlignment="1">
      <alignment vertical="center" wrapText="1"/>
    </xf>
    <xf numFmtId="0" fontId="25" fillId="9" borderId="16" xfId="0" applyFont="1" applyFill="1" applyBorder="1" applyAlignment="1">
      <alignment horizontal="center" wrapText="1"/>
    </xf>
    <xf numFmtId="0" fontId="25" fillId="9" borderId="43" xfId="0" applyFont="1" applyFill="1" applyBorder="1" applyAlignment="1">
      <alignment horizontal="center" wrapText="1"/>
    </xf>
    <xf numFmtId="0" fontId="23" fillId="12" borderId="18" xfId="0" applyFont="1" applyFill="1" applyBorder="1" applyAlignment="1">
      <alignment vertical="center" wrapText="1"/>
    </xf>
    <xf numFmtId="164" fontId="23" fillId="12" borderId="18" xfId="0" applyNumberFormat="1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 wrapText="1"/>
    </xf>
    <xf numFmtId="164" fontId="23" fillId="12" borderId="19" xfId="0" applyNumberFormat="1" applyFont="1" applyFill="1" applyBorder="1" applyAlignment="1">
      <alignment horizontal="center" vertical="center"/>
    </xf>
    <xf numFmtId="0" fontId="23" fillId="13" borderId="2" xfId="0" applyFont="1" applyFill="1" applyBorder="1" applyAlignment="1">
      <alignment vertical="center" wrapText="1"/>
    </xf>
    <xf numFmtId="10" fontId="23" fillId="13" borderId="2" xfId="1" applyNumberFormat="1" applyFont="1" applyFill="1" applyBorder="1" applyAlignment="1">
      <alignment horizontal="center" vertical="center"/>
    </xf>
    <xf numFmtId="10" fontId="23" fillId="13" borderId="20" xfId="1" applyNumberFormat="1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vertical="center" wrapText="1"/>
    </xf>
    <xf numFmtId="164" fontId="23" fillId="12" borderId="2" xfId="0" applyNumberFormat="1" applyFont="1" applyFill="1" applyBorder="1" applyAlignment="1">
      <alignment horizontal="center" vertical="center"/>
    </xf>
    <xf numFmtId="0" fontId="24" fillId="12" borderId="2" xfId="0" applyFont="1" applyFill="1" applyBorder="1" applyAlignment="1">
      <alignment horizontal="center" vertical="center" wrapText="1"/>
    </xf>
    <xf numFmtId="164" fontId="23" fillId="12" borderId="20" xfId="0" applyNumberFormat="1" applyFont="1" applyFill="1" applyBorder="1" applyAlignment="1">
      <alignment horizontal="center" vertical="center"/>
    </xf>
    <xf numFmtId="10" fontId="24" fillId="13" borderId="2" xfId="1" applyNumberFormat="1" applyFont="1" applyFill="1" applyBorder="1" applyAlignment="1">
      <alignment horizontal="center" vertical="center" wrapText="1"/>
    </xf>
    <xf numFmtId="0" fontId="23" fillId="14" borderId="2" xfId="0" applyFont="1" applyFill="1" applyBorder="1" applyAlignment="1">
      <alignment vertical="center" wrapText="1"/>
    </xf>
    <xf numFmtId="164" fontId="23" fillId="14" borderId="2" xfId="0" applyNumberFormat="1" applyFont="1" applyFill="1" applyBorder="1" applyAlignment="1">
      <alignment horizontal="center" vertical="center"/>
    </xf>
    <xf numFmtId="0" fontId="23" fillId="14" borderId="2" xfId="0" applyFont="1" applyFill="1" applyBorder="1"/>
    <xf numFmtId="164" fontId="23" fillId="14" borderId="20" xfId="0" applyNumberFormat="1" applyFont="1" applyFill="1" applyBorder="1" applyAlignment="1">
      <alignment horizontal="center" vertical="center"/>
    </xf>
    <xf numFmtId="0" fontId="23" fillId="15" borderId="2" xfId="0" applyFont="1" applyFill="1" applyBorder="1" applyAlignment="1">
      <alignment vertical="center" wrapText="1"/>
    </xf>
    <xf numFmtId="10" fontId="23" fillId="15" borderId="2" xfId="1" applyNumberFormat="1" applyFont="1" applyFill="1" applyBorder="1" applyAlignment="1">
      <alignment horizontal="center" vertical="center"/>
    </xf>
    <xf numFmtId="0" fontId="23" fillId="15" borderId="2" xfId="0" applyFont="1" applyFill="1" applyBorder="1"/>
    <xf numFmtId="10" fontId="23" fillId="15" borderId="20" xfId="1" applyNumberFormat="1" applyFont="1" applyFill="1" applyBorder="1" applyAlignment="1">
      <alignment horizontal="center" vertical="center"/>
    </xf>
    <xf numFmtId="164" fontId="24" fillId="14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vertical="center" wrapText="1"/>
    </xf>
    <xf numFmtId="164" fontId="23" fillId="10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164" fontId="23" fillId="10" borderId="20" xfId="0" applyNumberFormat="1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vertical="center" wrapText="1"/>
    </xf>
    <xf numFmtId="10" fontId="23" fillId="11" borderId="2" xfId="1" applyNumberFormat="1" applyFont="1" applyFill="1" applyBorder="1" applyAlignment="1">
      <alignment horizontal="center" vertical="center"/>
    </xf>
    <xf numFmtId="10" fontId="23" fillId="11" borderId="20" xfId="1" applyNumberFormat="1" applyFont="1" applyFill="1" applyBorder="1" applyAlignment="1">
      <alignment horizontal="center" vertical="center"/>
    </xf>
    <xf numFmtId="0" fontId="23" fillId="11" borderId="16" xfId="0" applyFont="1" applyFill="1" applyBorder="1" applyAlignment="1">
      <alignment vertical="center" wrapText="1"/>
    </xf>
    <xf numFmtId="10" fontId="23" fillId="11" borderId="16" xfId="1" applyNumberFormat="1" applyFont="1" applyFill="1" applyBorder="1" applyAlignment="1">
      <alignment horizontal="center" vertical="center"/>
    </xf>
    <xf numFmtId="10" fontId="24" fillId="11" borderId="16" xfId="1" applyNumberFormat="1" applyFont="1" applyFill="1" applyBorder="1" applyAlignment="1">
      <alignment horizontal="center" vertical="center" wrapText="1"/>
    </xf>
    <xf numFmtId="10" fontId="23" fillId="11" borderId="43" xfId="1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vertical="center" wrapText="1"/>
    </xf>
    <xf numFmtId="0" fontId="23" fillId="12" borderId="2" xfId="0" applyFont="1" applyFill="1" applyBorder="1" applyAlignment="1">
      <alignment horizontal="center" vertical="center" wrapText="1"/>
    </xf>
    <xf numFmtId="10" fontId="23" fillId="13" borderId="2" xfId="1" applyNumberFormat="1" applyFont="1" applyFill="1" applyBorder="1" applyAlignment="1">
      <alignment horizontal="center" vertical="center" wrapText="1"/>
    </xf>
    <xf numFmtId="164" fontId="23" fillId="14" borderId="2" xfId="0" applyNumberFormat="1" applyFont="1" applyFill="1" applyBorder="1" applyAlignment="1">
      <alignment horizontal="center" vertical="center" wrapText="1"/>
    </xf>
    <xf numFmtId="10" fontId="23" fillId="11" borderId="16" xfId="1" applyNumberFormat="1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vertical="center"/>
    </xf>
    <xf numFmtId="0" fontId="22" fillId="6" borderId="16" xfId="0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10" fontId="23" fillId="0" borderId="0" xfId="1" applyNumberFormat="1" applyFont="1" applyFill="1" applyBorder="1" applyAlignment="1">
      <alignment horizontal="center" vertical="center"/>
    </xf>
    <xf numFmtId="10" fontId="24" fillId="0" borderId="0" xfId="1" applyNumberFormat="1" applyFont="1" applyFill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7" fillId="0" borderId="35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8" fontId="7" fillId="7" borderId="2" xfId="0" applyNumberFormat="1" applyFont="1" applyFill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7" borderId="9" xfId="0" applyFont="1" applyFill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10" fontId="7" fillId="7" borderId="2" xfId="1" applyNumberFormat="1" applyFont="1" applyFill="1" applyBorder="1" applyAlignment="1">
      <alignment horizontal="center" vertical="center"/>
    </xf>
    <xf numFmtId="10" fontId="7" fillId="6" borderId="2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164" fontId="30" fillId="8" borderId="4" xfId="0" applyNumberFormat="1" applyFont="1" applyFill="1" applyBorder="1" applyAlignment="1">
      <alignment horizontal="center" vertical="center" wrapText="1"/>
    </xf>
    <xf numFmtId="164" fontId="21" fillId="0" borderId="2" xfId="0" applyNumberFormat="1" applyFont="1" applyBorder="1" applyAlignment="1">
      <alignment horizontal="center" vertical="center" wrapText="1"/>
    </xf>
    <xf numFmtId="9" fontId="21" fillId="0" borderId="2" xfId="1" applyFont="1" applyBorder="1" applyAlignment="1">
      <alignment horizontal="center" vertical="center" wrapText="1"/>
    </xf>
    <xf numFmtId="8" fontId="21" fillId="0" borderId="2" xfId="0" applyNumberFormat="1" applyFont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7" fillId="7" borderId="2" xfId="0" applyFont="1" applyFill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30" fillId="8" borderId="14" xfId="0" applyFont="1" applyFill="1" applyBorder="1" applyAlignment="1">
      <alignment horizontal="center" vertical="center" wrapText="1"/>
    </xf>
    <xf numFmtId="164" fontId="30" fillId="8" borderId="20" xfId="0" applyNumberFormat="1" applyFont="1" applyFill="1" applyBorder="1" applyAlignment="1">
      <alignment horizontal="center" vertical="center" wrapText="1"/>
    </xf>
    <xf numFmtId="164" fontId="7" fillId="6" borderId="16" xfId="0" applyNumberFormat="1" applyFont="1" applyFill="1" applyBorder="1" applyAlignment="1">
      <alignment horizontal="center" vertical="center" wrapText="1"/>
    </xf>
    <xf numFmtId="164" fontId="7" fillId="6" borderId="4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 wrapText="1"/>
    </xf>
    <xf numFmtId="9" fontId="21" fillId="0" borderId="20" xfId="1" applyFont="1" applyBorder="1" applyAlignment="1">
      <alignment horizontal="center" vertical="center" wrapText="1"/>
    </xf>
    <xf numFmtId="8" fontId="21" fillId="0" borderId="20" xfId="0" applyNumberFormat="1" applyFont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8" fontId="17" fillId="6" borderId="16" xfId="0" applyNumberFormat="1" applyFont="1" applyFill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5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vertical="center" wrapText="1"/>
    </xf>
    <xf numFmtId="0" fontId="7" fillId="6" borderId="15" xfId="0" applyFont="1" applyFill="1" applyBorder="1" applyAlignment="1">
      <alignment vertical="center" wrapText="1"/>
    </xf>
    <xf numFmtId="0" fontId="4" fillId="0" borderId="0" xfId="3" applyFont="1" applyAlignment="1">
      <alignment vertical="center"/>
    </xf>
    <xf numFmtId="0" fontId="33" fillId="0" borderId="0" xfId="4" applyFont="1" applyAlignment="1">
      <alignment horizontal="left" vertical="center"/>
    </xf>
    <xf numFmtId="0" fontId="34" fillId="0" borderId="0" xfId="4" applyFont="1" applyAlignment="1">
      <alignment horizontal="left" vertical="center"/>
    </xf>
    <xf numFmtId="0" fontId="34" fillId="0" borderId="0" xfId="5" applyFont="1"/>
    <xf numFmtId="0" fontId="34" fillId="0" borderId="0" xfId="4" applyFont="1"/>
    <xf numFmtId="0" fontId="33" fillId="0" borderId="0" xfId="4" applyFont="1" applyAlignment="1">
      <alignment horizontal="right" vertical="center"/>
    </xf>
    <xf numFmtId="14" fontId="34" fillId="0" borderId="0" xfId="6" applyNumberFormat="1" applyFont="1" applyAlignment="1">
      <alignment horizontal="center" vertical="center"/>
    </xf>
    <xf numFmtId="0" fontId="34" fillId="0" borderId="0" xfId="6" applyFont="1" applyAlignment="1">
      <alignment horizontal="center" vertical="center"/>
    </xf>
    <xf numFmtId="0" fontId="36" fillId="0" borderId="0" xfId="4" applyFont="1" applyAlignment="1">
      <alignment horizontal="left" vertical="center"/>
    </xf>
    <xf numFmtId="0" fontId="35" fillId="0" borderId="0" xfId="5" applyFont="1"/>
    <xf numFmtId="0" fontId="35" fillId="0" borderId="0" xfId="4" applyFont="1"/>
    <xf numFmtId="0" fontId="35" fillId="0" borderId="0" xfId="6" applyFont="1" applyAlignment="1">
      <alignment horizontal="center" vertical="center"/>
    </xf>
    <xf numFmtId="1" fontId="36" fillId="0" borderId="0" xfId="4" applyNumberFormat="1" applyFont="1" applyAlignment="1">
      <alignment horizontal="center" vertical="center"/>
    </xf>
    <xf numFmtId="0" fontId="37" fillId="0" borderId="0" xfId="4" applyFont="1" applyAlignment="1">
      <alignment horizontal="left" vertical="center"/>
    </xf>
    <xf numFmtId="0" fontId="36" fillId="0" borderId="0" xfId="4" applyFont="1" applyAlignment="1">
      <alignment horizontal="right"/>
    </xf>
    <xf numFmtId="43" fontId="36" fillId="0" borderId="0" xfId="7" applyFont="1" applyAlignment="1">
      <alignment horizontal="center" vertical="center"/>
    </xf>
    <xf numFmtId="4" fontId="36" fillId="0" borderId="0" xfId="4" applyNumberFormat="1" applyFont="1" applyAlignment="1">
      <alignment vertical="center"/>
    </xf>
    <xf numFmtId="4" fontId="36" fillId="0" borderId="0" xfId="8" applyNumberFormat="1" applyFont="1" applyAlignment="1">
      <alignment vertical="center"/>
    </xf>
    <xf numFmtId="3" fontId="34" fillId="0" borderId="0" xfId="6" applyNumberFormat="1" applyFont="1" applyAlignment="1">
      <alignment horizontal="left" vertical="center"/>
    </xf>
    <xf numFmtId="0" fontId="34" fillId="0" borderId="0" xfId="6" applyFont="1" applyAlignment="1">
      <alignment horizontal="left" vertical="center"/>
    </xf>
    <xf numFmtId="1" fontId="35" fillId="0" borderId="55" xfId="4" applyNumberFormat="1" applyFont="1" applyBorder="1" applyAlignment="1">
      <alignment horizontal="center" vertical="center"/>
    </xf>
    <xf numFmtId="0" fontId="35" fillId="0" borderId="0" xfId="4" applyFont="1" applyAlignment="1">
      <alignment horizontal="left" vertical="center"/>
    </xf>
    <xf numFmtId="0" fontId="35" fillId="0" borderId="0" xfId="4" applyFont="1" applyAlignment="1">
      <alignment vertical="center"/>
    </xf>
    <xf numFmtId="0" fontId="35" fillId="0" borderId="0" xfId="4" applyFont="1" applyAlignment="1">
      <alignment horizontal="right"/>
    </xf>
    <xf numFmtId="10" fontId="35" fillId="0" borderId="0" xfId="8" applyNumberFormat="1" applyFont="1" applyBorder="1" applyAlignment="1">
      <alignment horizontal="left" vertical="center"/>
    </xf>
    <xf numFmtId="4" fontId="35" fillId="0" borderId="0" xfId="4" applyNumberFormat="1" applyFont="1" applyAlignment="1">
      <alignment vertical="center"/>
    </xf>
    <xf numFmtId="43" fontId="35" fillId="0" borderId="0" xfId="7" applyFont="1" applyBorder="1" applyAlignment="1">
      <alignment vertical="center"/>
    </xf>
    <xf numFmtId="0" fontId="34" fillId="0" borderId="56" xfId="6" applyFont="1" applyBorder="1" applyAlignment="1">
      <alignment horizontal="center" vertical="center"/>
    </xf>
    <xf numFmtId="0" fontId="42" fillId="3" borderId="64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right"/>
    </xf>
    <xf numFmtId="43" fontId="42" fillId="3" borderId="7" xfId="7" applyFont="1" applyFill="1" applyBorder="1" applyAlignment="1">
      <alignment horizontal="left" vertical="center"/>
    </xf>
    <xf numFmtId="4" fontId="42" fillId="3" borderId="7" xfId="4" applyNumberFormat="1" applyFont="1" applyFill="1" applyBorder="1" applyAlignment="1">
      <alignment vertical="center"/>
    </xf>
    <xf numFmtId="0" fontId="42" fillId="0" borderId="7" xfId="6" applyFont="1" applyBorder="1" applyAlignment="1">
      <alignment horizontal="center" vertical="center"/>
    </xf>
    <xf numFmtId="0" fontId="42" fillId="0" borderId="3" xfId="6" applyFont="1" applyBorder="1" applyAlignment="1">
      <alignment horizontal="center" vertical="center"/>
    </xf>
    <xf numFmtId="10" fontId="42" fillId="3" borderId="20" xfId="8" applyNumberFormat="1" applyFont="1" applyFill="1" applyBorder="1" applyAlignment="1">
      <alignment horizontal="center" vertical="center"/>
    </xf>
    <xf numFmtId="0" fontId="42" fillId="3" borderId="64" xfId="4" applyFont="1" applyFill="1" applyBorder="1" applyAlignment="1">
      <alignment vertical="center"/>
    </xf>
    <xf numFmtId="0" fontId="42" fillId="3" borderId="7" xfId="4" applyFont="1" applyFill="1" applyBorder="1" applyAlignment="1">
      <alignment vertical="center"/>
    </xf>
    <xf numFmtId="0" fontId="44" fillId="3" borderId="64" xfId="4" applyFont="1" applyFill="1" applyBorder="1" applyAlignment="1">
      <alignment horizontal="left" vertical="center"/>
    </xf>
    <xf numFmtId="0" fontId="44" fillId="3" borderId="7" xfId="4" applyFont="1" applyFill="1" applyBorder="1" applyAlignment="1">
      <alignment horizontal="left" vertical="center"/>
    </xf>
    <xf numFmtId="10" fontId="42" fillId="3" borderId="7" xfId="8" applyNumberFormat="1" applyFont="1" applyFill="1" applyBorder="1" applyAlignment="1">
      <alignment vertical="center"/>
    </xf>
    <xf numFmtId="10" fontId="42" fillId="3" borderId="2" xfId="4" applyNumberFormat="1" applyFont="1" applyFill="1" applyBorder="1" applyAlignment="1">
      <alignment horizontal="center" vertical="center"/>
    </xf>
    <xf numFmtId="0" fontId="42" fillId="0" borderId="44" xfId="6" applyFont="1" applyBorder="1" applyAlignment="1">
      <alignment horizontal="center" vertical="center"/>
    </xf>
    <xf numFmtId="43" fontId="42" fillId="3" borderId="7" xfId="7" applyFont="1" applyFill="1" applyBorder="1" applyAlignment="1">
      <alignment vertical="center"/>
    </xf>
    <xf numFmtId="0" fontId="42" fillId="0" borderId="45" xfId="6" applyFont="1" applyBorder="1" applyAlignment="1">
      <alignment horizontal="center" vertical="center"/>
    </xf>
    <xf numFmtId="0" fontId="42" fillId="0" borderId="50" xfId="6" applyFont="1" applyBorder="1" applyAlignment="1">
      <alignment horizontal="center" vertical="center"/>
    </xf>
    <xf numFmtId="1" fontId="7" fillId="6" borderId="14" xfId="4" applyNumberFormat="1" applyFont="1" applyFill="1" applyBorder="1" applyAlignment="1">
      <alignment horizontal="center" vertical="center"/>
    </xf>
    <xf numFmtId="0" fontId="7" fillId="6" borderId="2" xfId="4" applyFont="1" applyFill="1" applyBorder="1" applyAlignment="1">
      <alignment horizontal="left" vertical="center"/>
    </xf>
    <xf numFmtId="4" fontId="7" fillId="6" borderId="20" xfId="8" applyNumberFormat="1" applyFont="1" applyFill="1" applyBorder="1" applyAlignment="1">
      <alignment horizontal="center" vertical="center"/>
    </xf>
    <xf numFmtId="1" fontId="7" fillId="6" borderId="15" xfId="4" applyNumberFormat="1" applyFont="1" applyFill="1" applyBorder="1" applyAlignment="1">
      <alignment horizontal="center" vertical="center"/>
    </xf>
    <xf numFmtId="0" fontId="7" fillId="6" borderId="16" xfId="4" applyFont="1" applyFill="1" applyBorder="1" applyAlignment="1">
      <alignment horizontal="left" vertical="center"/>
    </xf>
    <xf numFmtId="4" fontId="7" fillId="6" borderId="43" xfId="8" applyNumberFormat="1" applyFont="1" applyFill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19" fillId="0" borderId="2" xfId="3" applyFont="1" applyBorder="1" applyAlignment="1">
      <alignment horizontal="center" vertical="center"/>
    </xf>
    <xf numFmtId="4" fontId="20" fillId="0" borderId="2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/>
    </xf>
    <xf numFmtId="10" fontId="19" fillId="0" borderId="20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 wrapText="1"/>
    </xf>
    <xf numFmtId="10" fontId="19" fillId="0" borderId="20" xfId="3" applyNumberFormat="1" applyFont="1" applyBorder="1" applyAlignment="1">
      <alignment horizontal="center" vertical="center" wrapText="1"/>
    </xf>
    <xf numFmtId="0" fontId="19" fillId="0" borderId="8" xfId="5" applyFont="1" applyBorder="1" applyAlignment="1">
      <alignment horizontal="center"/>
    </xf>
    <xf numFmtId="10" fontId="19" fillId="0" borderId="50" xfId="3" applyNumberFormat="1" applyFont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0" fontId="17" fillId="7" borderId="2" xfId="3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 wrapText="1"/>
    </xf>
    <xf numFmtId="0" fontId="18" fillId="7" borderId="2" xfId="5" applyFont="1" applyFill="1" applyBorder="1"/>
    <xf numFmtId="0" fontId="19" fillId="0" borderId="55" xfId="3" applyFont="1" applyBorder="1" applyAlignment="1">
      <alignment vertical="center"/>
    </xf>
    <xf numFmtId="0" fontId="19" fillId="0" borderId="56" xfId="3" applyFont="1" applyBorder="1" applyAlignment="1">
      <alignment vertical="center"/>
    </xf>
    <xf numFmtId="0" fontId="17" fillId="7" borderId="20" xfId="3" applyFont="1" applyFill="1" applyBorder="1" applyAlignment="1">
      <alignment horizontal="center" vertical="center"/>
    </xf>
    <xf numFmtId="10" fontId="17" fillId="7" borderId="20" xfId="3" applyNumberFormat="1" applyFont="1" applyFill="1" applyBorder="1" applyAlignment="1">
      <alignment horizontal="center" vertical="center" wrapText="1"/>
    </xf>
    <xf numFmtId="0" fontId="18" fillId="7" borderId="20" xfId="5" applyFont="1" applyFill="1" applyBorder="1"/>
    <xf numFmtId="0" fontId="19" fillId="0" borderId="55" xfId="5" applyFont="1" applyBorder="1"/>
    <xf numFmtId="0" fontId="19" fillId="0" borderId="0" xfId="5" applyFont="1"/>
    <xf numFmtId="0" fontId="38" fillId="0" borderId="55" xfId="5" applyFont="1" applyBorder="1"/>
    <xf numFmtId="0" fontId="38" fillId="0" borderId="0" xfId="5" applyFont="1"/>
    <xf numFmtId="0" fontId="38" fillId="0" borderId="0" xfId="5" applyFont="1" applyAlignment="1">
      <alignment horizontal="center"/>
    </xf>
    <xf numFmtId="10" fontId="38" fillId="0" borderId="56" xfId="3" applyNumberFormat="1" applyFont="1" applyBorder="1" applyAlignment="1">
      <alignment horizontal="center" vertical="center"/>
    </xf>
    <xf numFmtId="0" fontId="4" fillId="0" borderId="55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10" fontId="4" fillId="0" borderId="56" xfId="3" applyNumberFormat="1" applyFont="1" applyBorder="1" applyAlignment="1">
      <alignment horizontal="center" vertical="center"/>
    </xf>
    <xf numFmtId="0" fontId="4" fillId="0" borderId="62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17" fontId="12" fillId="0" borderId="2" xfId="0" applyNumberFormat="1" applyFont="1" applyBorder="1" applyAlignment="1">
      <alignment horizontal="center" vertical="center"/>
    </xf>
    <xf numFmtId="17" fontId="12" fillId="5" borderId="8" xfId="0" applyNumberFormat="1" applyFont="1" applyFill="1" applyBorder="1" applyAlignment="1">
      <alignment horizontal="center" vertical="center"/>
    </xf>
    <xf numFmtId="17" fontId="26" fillId="0" borderId="2" xfId="0" applyNumberFormat="1" applyFont="1" applyBorder="1" applyAlignment="1">
      <alignment horizontal="center" vertical="center" wrapText="1"/>
    </xf>
    <xf numFmtId="17" fontId="26" fillId="0" borderId="20" xfId="0" applyNumberFormat="1" applyFont="1" applyBorder="1" applyAlignment="1">
      <alignment horizontal="center" vertical="center" wrapText="1"/>
    </xf>
    <xf numFmtId="0" fontId="12" fillId="5" borderId="75" xfId="0" applyFont="1" applyFill="1" applyBorder="1" applyAlignment="1">
      <alignment horizontal="center" vertical="center"/>
    </xf>
    <xf numFmtId="0" fontId="47" fillId="0" borderId="75" xfId="0" applyFont="1" applyBorder="1" applyAlignment="1">
      <alignment horizontal="center" vertical="center"/>
    </xf>
    <xf numFmtId="0" fontId="0" fillId="0" borderId="75" xfId="0" applyBorder="1" applyAlignment="1">
      <alignment horizontal="center"/>
    </xf>
    <xf numFmtId="0" fontId="47" fillId="0" borderId="75" xfId="0" applyFont="1" applyBorder="1" applyAlignment="1">
      <alignment horizontal="center"/>
    </xf>
    <xf numFmtId="0" fontId="12" fillId="5" borderId="31" xfId="0" applyFont="1" applyFill="1" applyBorder="1" applyAlignment="1">
      <alignment horizontal="center" vertical="center"/>
    </xf>
    <xf numFmtId="0" fontId="12" fillId="5" borderId="76" xfId="0" applyFont="1" applyFill="1" applyBorder="1" applyAlignment="1">
      <alignment horizontal="center" vertical="center"/>
    </xf>
    <xf numFmtId="17" fontId="21" fillId="0" borderId="2" xfId="0" applyNumberFormat="1" applyFont="1" applyBorder="1" applyAlignment="1">
      <alignment horizontal="center" vertical="center" wrapText="1"/>
    </xf>
    <xf numFmtId="10" fontId="21" fillId="0" borderId="2" xfId="0" applyNumberFormat="1" applyFont="1" applyBorder="1" applyAlignment="1">
      <alignment horizontal="center" vertical="center" wrapText="1"/>
    </xf>
    <xf numFmtId="10" fontId="21" fillId="0" borderId="20" xfId="0" applyNumberFormat="1" applyFont="1" applyBorder="1" applyAlignment="1">
      <alignment horizontal="center" vertical="center" wrapText="1"/>
    </xf>
    <xf numFmtId="4" fontId="21" fillId="0" borderId="2" xfId="0" applyNumberFormat="1" applyFont="1" applyBorder="1" applyAlignment="1">
      <alignment horizontal="center" vertical="center" wrapText="1"/>
    </xf>
    <xf numFmtId="4" fontId="21" fillId="0" borderId="20" xfId="0" applyNumberFormat="1" applyFont="1" applyBorder="1" applyAlignment="1">
      <alignment horizontal="center" vertical="center" wrapText="1"/>
    </xf>
    <xf numFmtId="17" fontId="12" fillId="0" borderId="2" xfId="0" applyNumberFormat="1" applyFont="1" applyBorder="1" applyAlignment="1">
      <alignment horizontal="center" vertical="center" wrapText="1"/>
    </xf>
    <xf numFmtId="17" fontId="12" fillId="5" borderId="2" xfId="0" applyNumberFormat="1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vertical="center" wrapText="1"/>
    </xf>
    <xf numFmtId="10" fontId="13" fillId="5" borderId="30" xfId="0" applyNumberFormat="1" applyFont="1" applyFill="1" applyBorder="1" applyAlignment="1">
      <alignment horizontal="center" vertical="center"/>
    </xf>
    <xf numFmtId="8" fontId="23" fillId="12" borderId="18" xfId="0" applyNumberFormat="1" applyFont="1" applyFill="1" applyBorder="1" applyAlignment="1">
      <alignment horizontal="center" vertical="center" wrapText="1"/>
    </xf>
    <xf numFmtId="8" fontId="23" fillId="14" borderId="2" xfId="0" applyNumberFormat="1" applyFont="1" applyFill="1" applyBorder="1"/>
    <xf numFmtId="164" fontId="7" fillId="6" borderId="33" xfId="0" applyNumberFormat="1" applyFont="1" applyFill="1" applyBorder="1" applyAlignment="1">
      <alignment horizontal="center" vertical="center"/>
    </xf>
    <xf numFmtId="164" fontId="7" fillId="2" borderId="41" xfId="0" applyNumberFormat="1" applyFont="1" applyFill="1" applyBorder="1" applyAlignment="1">
      <alignment horizontal="center" vertical="center"/>
    </xf>
    <xf numFmtId="10" fontId="13" fillId="5" borderId="30" xfId="1" applyNumberFormat="1" applyFont="1" applyFill="1" applyBorder="1" applyAlignment="1">
      <alignment horizontal="center" vertical="center"/>
    </xf>
    <xf numFmtId="10" fontId="48" fillId="8" borderId="30" xfId="0" applyNumberFormat="1" applyFont="1" applyFill="1" applyBorder="1" applyAlignment="1">
      <alignment horizontal="center" vertical="center"/>
    </xf>
    <xf numFmtId="10" fontId="45" fillId="7" borderId="30" xfId="0" applyNumberFormat="1" applyFont="1" applyFill="1" applyBorder="1" applyAlignment="1">
      <alignment horizontal="center" vertical="center"/>
    </xf>
    <xf numFmtId="10" fontId="49" fillId="8" borderId="30" xfId="1" applyNumberFormat="1" applyFont="1" applyFill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10" fontId="13" fillId="0" borderId="36" xfId="0" applyNumberFormat="1" applyFont="1" applyBorder="1" applyAlignment="1">
      <alignment horizontal="center" vertical="center"/>
    </xf>
    <xf numFmtId="0" fontId="50" fillId="5" borderId="8" xfId="0" applyFont="1" applyFill="1" applyBorder="1" applyAlignment="1">
      <alignment horizontal="justify" vertical="center" wrapText="1"/>
    </xf>
    <xf numFmtId="0" fontId="50" fillId="5" borderId="2" xfId="0" applyFont="1" applyFill="1" applyBorder="1" applyAlignment="1">
      <alignment horizontal="justify" vertical="center" wrapText="1"/>
    </xf>
    <xf numFmtId="0" fontId="12" fillId="0" borderId="2" xfId="0" quotePrefix="1" applyFont="1" applyBorder="1" applyAlignment="1">
      <alignment horizontal="center" vertical="center"/>
    </xf>
    <xf numFmtId="8" fontId="0" fillId="0" borderId="0" xfId="0" applyNumberFormat="1" applyAlignment="1">
      <alignment horizontal="center"/>
    </xf>
    <xf numFmtId="10" fontId="21" fillId="0" borderId="0" xfId="0" applyNumberFormat="1" applyFont="1" applyAlignment="1">
      <alignment vertical="center"/>
    </xf>
    <xf numFmtId="4" fontId="51" fillId="0" borderId="2" xfId="3" applyNumberFormat="1" applyFont="1" applyBorder="1" applyAlignment="1">
      <alignment horizontal="center" vertical="center"/>
    </xf>
    <xf numFmtId="4" fontId="51" fillId="7" borderId="2" xfId="3" applyNumberFormat="1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8" fontId="29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8" fontId="17" fillId="6" borderId="43" xfId="0" applyNumberFormat="1" applyFont="1" applyFill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21" fillId="0" borderId="56" xfId="0" applyFont="1" applyBorder="1" applyAlignment="1">
      <alignment vertical="center" wrapText="1"/>
    </xf>
    <xf numFmtId="8" fontId="21" fillId="0" borderId="0" xfId="0" applyNumberFormat="1" applyFont="1" applyAlignment="1">
      <alignment vertical="center"/>
    </xf>
    <xf numFmtId="2" fontId="21" fillId="0" borderId="2" xfId="0" applyNumberFormat="1" applyFont="1" applyBorder="1" applyAlignment="1">
      <alignment horizontal="center" vertical="center" wrapText="1"/>
    </xf>
    <xf numFmtId="2" fontId="21" fillId="0" borderId="20" xfId="0" applyNumberFormat="1" applyFont="1" applyBorder="1" applyAlignment="1">
      <alignment horizontal="center" vertical="center" wrapText="1"/>
    </xf>
    <xf numFmtId="0" fontId="50" fillId="0" borderId="0" xfId="0" applyFont="1" applyAlignment="1">
      <alignment horizontal="left" vertical="center" wrapText="1"/>
    </xf>
    <xf numFmtId="0" fontId="52" fillId="0" borderId="36" xfId="0" applyFont="1" applyBorder="1" applyAlignment="1">
      <alignment vertical="center"/>
    </xf>
    <xf numFmtId="10" fontId="45" fillId="7" borderId="30" xfId="1" applyNumberFormat="1" applyFont="1" applyFill="1" applyBorder="1" applyAlignment="1">
      <alignment horizontal="center" vertical="center"/>
    </xf>
    <xf numFmtId="10" fontId="13" fillId="0" borderId="30" xfId="1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53" fillId="0" borderId="0" xfId="0" applyFont="1" applyAlignment="1">
      <alignment vertical="center"/>
    </xf>
    <xf numFmtId="0" fontId="53" fillId="6" borderId="17" xfId="0" applyFont="1" applyFill="1" applyBorder="1" applyAlignment="1">
      <alignment horizontal="center" vertical="center"/>
    </xf>
    <xf numFmtId="0" fontId="53" fillId="6" borderId="19" xfId="0" applyFont="1" applyFill="1" applyBorder="1" applyAlignment="1">
      <alignment horizontal="center" vertical="center"/>
    </xf>
    <xf numFmtId="0" fontId="53" fillId="7" borderId="14" xfId="0" applyFont="1" applyFill="1" applyBorder="1" applyAlignment="1">
      <alignment horizontal="center" vertical="center"/>
    </xf>
    <xf numFmtId="0" fontId="53" fillId="7" borderId="20" xfId="0" applyFont="1" applyFill="1" applyBorder="1" applyAlignment="1">
      <alignment horizontal="right" vertical="center" wrapText="1"/>
    </xf>
    <xf numFmtId="0" fontId="53" fillId="0" borderId="0" xfId="0" applyFont="1" applyAlignment="1">
      <alignment horizontal="center" vertical="center"/>
    </xf>
    <xf numFmtId="0" fontId="53" fillId="7" borderId="20" xfId="0" applyFont="1" applyFill="1" applyBorder="1" applyAlignment="1">
      <alignment horizontal="center" vertical="center"/>
    </xf>
    <xf numFmtId="0" fontId="54" fillId="8" borderId="14" xfId="0" applyFont="1" applyFill="1" applyBorder="1" applyAlignment="1">
      <alignment horizontal="center" vertical="center"/>
    </xf>
    <xf numFmtId="0" fontId="54" fillId="8" borderId="20" xfId="0" applyFont="1" applyFill="1" applyBorder="1" applyAlignment="1">
      <alignment horizontal="left" vertical="center" wrapText="1"/>
    </xf>
    <xf numFmtId="0" fontId="54" fillId="0" borderId="0" xfId="0" applyFont="1" applyAlignment="1">
      <alignment horizontal="left" vertical="center"/>
    </xf>
    <xf numFmtId="10" fontId="54" fillId="8" borderId="14" xfId="1" applyNumberFormat="1" applyFont="1" applyFill="1" applyBorder="1" applyAlignment="1">
      <alignment horizontal="center" vertical="center"/>
    </xf>
    <xf numFmtId="164" fontId="54" fillId="8" borderId="20" xfId="0" applyNumberFormat="1" applyFont="1" applyFill="1" applyBorder="1" applyAlignment="1">
      <alignment horizontal="center" vertical="center"/>
    </xf>
    <xf numFmtId="0" fontId="55" fillId="0" borderId="14" xfId="0" applyFont="1" applyBorder="1" applyAlignment="1">
      <alignment horizontal="center" vertical="center"/>
    </xf>
    <xf numFmtId="0" fontId="55" fillId="0" borderId="20" xfId="0" applyFont="1" applyBorder="1" applyAlignment="1">
      <alignment horizontal="left" vertical="center" wrapText="1"/>
    </xf>
    <xf numFmtId="0" fontId="55" fillId="0" borderId="0" xfId="0" applyFont="1" applyAlignment="1">
      <alignment horizontal="left" vertical="center"/>
    </xf>
    <xf numFmtId="10" fontId="55" fillId="0" borderId="14" xfId="1" applyNumberFormat="1" applyFont="1" applyBorder="1" applyAlignment="1">
      <alignment horizontal="center" vertical="center"/>
    </xf>
    <xf numFmtId="164" fontId="55" fillId="0" borderId="20" xfId="0" applyNumberFormat="1" applyFont="1" applyBorder="1" applyAlignment="1">
      <alignment horizontal="center" vertical="center"/>
    </xf>
    <xf numFmtId="0" fontId="53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 wrapText="1"/>
    </xf>
    <xf numFmtId="10" fontId="53" fillId="7" borderId="14" xfId="1" applyNumberFormat="1" applyFont="1" applyFill="1" applyBorder="1" applyAlignment="1">
      <alignment horizontal="center" vertical="center"/>
    </xf>
    <xf numFmtId="164" fontId="53" fillId="7" borderId="20" xfId="0" applyNumberFormat="1" applyFont="1" applyFill="1" applyBorder="1" applyAlignment="1">
      <alignment horizontal="center" vertical="center"/>
    </xf>
    <xf numFmtId="0" fontId="55" fillId="0" borderId="20" xfId="0" applyFont="1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55" fillId="0" borderId="20" xfId="0" applyFont="1" applyBorder="1" applyAlignment="1">
      <alignment horizontal="center" vertical="center"/>
    </xf>
    <xf numFmtId="0" fontId="53" fillId="7" borderId="20" xfId="0" applyFont="1" applyFill="1" applyBorder="1" applyAlignment="1">
      <alignment horizontal="left" vertical="center" wrapText="1"/>
    </xf>
    <xf numFmtId="10" fontId="53" fillId="6" borderId="15" xfId="1" applyNumberFormat="1" applyFont="1" applyFill="1" applyBorder="1" applyAlignment="1">
      <alignment horizontal="center" vertical="center"/>
    </xf>
    <xf numFmtId="164" fontId="53" fillId="6" borderId="43" xfId="0" applyNumberFormat="1" applyFont="1" applyFill="1" applyBorder="1" applyAlignment="1">
      <alignment horizontal="center" vertical="center"/>
    </xf>
    <xf numFmtId="0" fontId="22" fillId="6" borderId="12" xfId="0" applyFont="1" applyFill="1" applyBorder="1" applyAlignment="1">
      <alignment horizontal="center" vertical="center"/>
    </xf>
    <xf numFmtId="0" fontId="22" fillId="6" borderId="57" xfId="0" applyFont="1" applyFill="1" applyBorder="1" applyAlignment="1">
      <alignment horizontal="center" vertical="center" wrapText="1"/>
    </xf>
    <xf numFmtId="0" fontId="22" fillId="6" borderId="57" xfId="0" applyFont="1" applyFill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10" fontId="23" fillId="0" borderId="56" xfId="0" applyNumberFormat="1" applyFont="1" applyBorder="1" applyAlignment="1">
      <alignment horizontal="center" vertical="center"/>
    </xf>
    <xf numFmtId="10" fontId="23" fillId="0" borderId="55" xfId="0" applyNumberFormat="1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14" fillId="8" borderId="3" xfId="0" applyFont="1" applyFill="1" applyBorder="1" applyAlignment="1">
      <alignment horizontal="right" vertical="center"/>
    </xf>
    <xf numFmtId="10" fontId="23" fillId="0" borderId="56" xfId="1" applyNumberFormat="1" applyFont="1" applyBorder="1" applyAlignment="1">
      <alignment horizontal="center" vertical="center"/>
    </xf>
    <xf numFmtId="10" fontId="23" fillId="0" borderId="55" xfId="1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56" fillId="0" borderId="0" xfId="0" applyFont="1" applyAlignment="1">
      <alignment horizontal="center" wrapText="1"/>
    </xf>
    <xf numFmtId="0" fontId="31" fillId="4" borderId="4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17" fontId="26" fillId="4" borderId="2" xfId="0" applyNumberFormat="1" applyFont="1" applyFill="1" applyBorder="1" applyAlignment="1">
      <alignment horizontal="center" vertical="center" wrapText="1"/>
    </xf>
    <xf numFmtId="8" fontId="29" fillId="4" borderId="20" xfId="0" applyNumberFormat="1" applyFont="1" applyFill="1" applyBorder="1" applyAlignment="1">
      <alignment horizontal="center" vertical="center" wrapText="1"/>
    </xf>
    <xf numFmtId="0" fontId="58" fillId="0" borderId="0" xfId="0" applyFont="1"/>
    <xf numFmtId="8" fontId="21" fillId="4" borderId="2" xfId="0" applyNumberFormat="1" applyFont="1" applyFill="1" applyBorder="1" applyAlignment="1">
      <alignment horizontal="center" vertical="center" wrapText="1"/>
    </xf>
    <xf numFmtId="164" fontId="21" fillId="4" borderId="2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vertical="center"/>
    </xf>
    <xf numFmtId="0" fontId="15" fillId="0" borderId="0" xfId="0" applyFont="1" applyAlignment="1">
      <alignment horizontal="right" vertical="center"/>
    </xf>
    <xf numFmtId="0" fontId="22" fillId="6" borderId="75" xfId="0" applyFont="1" applyFill="1" applyBorder="1" applyAlignment="1">
      <alignment horizontal="center" vertical="center" wrapText="1"/>
    </xf>
    <xf numFmtId="0" fontId="23" fillId="12" borderId="75" xfId="0" applyFont="1" applyFill="1" applyBorder="1" applyAlignment="1">
      <alignment vertical="center" wrapText="1"/>
    </xf>
    <xf numFmtId="164" fontId="23" fillId="12" borderId="75" xfId="0" applyNumberFormat="1" applyFont="1" applyFill="1" applyBorder="1" applyAlignment="1">
      <alignment horizontal="center" vertical="center"/>
    </xf>
    <xf numFmtId="0" fontId="23" fillId="13" borderId="75" xfId="0" applyFont="1" applyFill="1" applyBorder="1" applyAlignment="1">
      <alignment vertical="center" wrapText="1"/>
    </xf>
    <xf numFmtId="10" fontId="23" fillId="13" borderId="75" xfId="1" applyNumberFormat="1" applyFont="1" applyFill="1" applyBorder="1" applyAlignment="1">
      <alignment horizontal="center" vertical="center"/>
    </xf>
    <xf numFmtId="0" fontId="23" fillId="14" borderId="75" xfId="0" applyFont="1" applyFill="1" applyBorder="1" applyAlignment="1">
      <alignment vertical="center" wrapText="1"/>
    </xf>
    <xf numFmtId="164" fontId="23" fillId="14" borderId="75" xfId="0" applyNumberFormat="1" applyFont="1" applyFill="1" applyBorder="1" applyAlignment="1">
      <alignment horizontal="center" vertical="center"/>
    </xf>
    <xf numFmtId="0" fontId="23" fillId="15" borderId="75" xfId="0" applyFont="1" applyFill="1" applyBorder="1" applyAlignment="1">
      <alignment vertical="center" wrapText="1"/>
    </xf>
    <xf numFmtId="10" fontId="23" fillId="15" borderId="75" xfId="1" applyNumberFormat="1" applyFont="1" applyFill="1" applyBorder="1" applyAlignment="1">
      <alignment horizontal="center" vertical="center"/>
    </xf>
    <xf numFmtId="0" fontId="23" fillId="10" borderId="75" xfId="0" applyFont="1" applyFill="1" applyBorder="1" applyAlignment="1">
      <alignment vertical="center" wrapText="1"/>
    </xf>
    <xf numFmtId="164" fontId="23" fillId="10" borderId="75" xfId="0" applyNumberFormat="1" applyFont="1" applyFill="1" applyBorder="1" applyAlignment="1">
      <alignment horizontal="center" vertical="center"/>
    </xf>
    <xf numFmtId="0" fontId="23" fillId="11" borderId="75" xfId="0" applyFont="1" applyFill="1" applyBorder="1" applyAlignment="1">
      <alignment vertical="center" wrapText="1"/>
    </xf>
    <xf numFmtId="10" fontId="23" fillId="11" borderId="75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3" fillId="0" borderId="68" xfId="0" applyFont="1" applyBorder="1" applyAlignment="1">
      <alignment horizontal="left" vertical="center" wrapText="1"/>
    </xf>
    <xf numFmtId="0" fontId="22" fillId="6" borderId="77" xfId="0" applyFont="1" applyFill="1" applyBorder="1" applyAlignment="1">
      <alignment horizontal="center" vertical="center" wrapText="1"/>
    </xf>
    <xf numFmtId="0" fontId="59" fillId="16" borderId="2" xfId="0" applyFont="1" applyFill="1" applyBorder="1" applyAlignment="1">
      <alignment horizontal="center" vertical="center"/>
    </xf>
    <xf numFmtId="9" fontId="23" fillId="0" borderId="55" xfId="1" applyFont="1" applyBorder="1" applyAlignment="1">
      <alignment horizontal="center" vertical="center"/>
    </xf>
    <xf numFmtId="0" fontId="12" fillId="5" borderId="8" xfId="0" applyFont="1" applyFill="1" applyBorder="1" applyAlignment="1">
      <alignment horizontal="left" vertical="center" wrapText="1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7" fillId="3" borderId="0" xfId="0" applyFont="1" applyFill="1"/>
    <xf numFmtId="0" fontId="8" fillId="4" borderId="0" xfId="0" applyFont="1" applyFill="1" applyAlignment="1">
      <alignment horizontal="center"/>
    </xf>
    <xf numFmtId="0" fontId="56" fillId="4" borderId="0" xfId="0" applyFont="1" applyFill="1"/>
    <xf numFmtId="0" fontId="0" fillId="17" borderId="0" xfId="0" applyFill="1"/>
    <xf numFmtId="14" fontId="0" fillId="4" borderId="2" xfId="0" applyNumberForma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left" vertical="center"/>
    </xf>
    <xf numFmtId="165" fontId="12" fillId="0" borderId="2" xfId="0" applyNumberFormat="1" applyFont="1" applyBorder="1" applyAlignment="1">
      <alignment horizontal="center" vertical="center"/>
    </xf>
    <xf numFmtId="165" fontId="12" fillId="4" borderId="2" xfId="0" applyNumberFormat="1" applyFont="1" applyFill="1" applyBorder="1" applyAlignment="1">
      <alignment vertical="center"/>
    </xf>
    <xf numFmtId="165" fontId="12" fillId="18" borderId="8" xfId="0" quotePrefix="1" applyNumberFormat="1" applyFont="1" applyFill="1" applyBorder="1" applyAlignment="1">
      <alignment horizontal="left" vertical="center" wrapText="1"/>
    </xf>
    <xf numFmtId="165" fontId="12" fillId="18" borderId="2" xfId="0" applyNumberFormat="1" applyFont="1" applyFill="1" applyBorder="1" applyAlignment="1">
      <alignment horizontal="left" vertical="center" wrapText="1"/>
    </xf>
    <xf numFmtId="0" fontId="12" fillId="4" borderId="2" xfId="0" quotePrefix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17" fontId="12" fillId="4" borderId="2" xfId="0" applyNumberFormat="1" applyFont="1" applyFill="1" applyBorder="1" applyAlignment="1">
      <alignment horizontal="center" vertical="center"/>
    </xf>
    <xf numFmtId="0" fontId="12" fillId="18" borderId="8" xfId="0" applyFont="1" applyFill="1" applyBorder="1" applyAlignment="1">
      <alignment horizontal="center" vertical="center" wrapText="1"/>
    </xf>
    <xf numFmtId="0" fontId="12" fillId="18" borderId="8" xfId="0" applyFont="1" applyFill="1" applyBorder="1" applyAlignment="1">
      <alignment horizontal="center" vertical="center"/>
    </xf>
    <xf numFmtId="17" fontId="12" fillId="18" borderId="8" xfId="0" applyNumberFormat="1" applyFont="1" applyFill="1" applyBorder="1" applyAlignment="1">
      <alignment horizontal="center" vertical="center"/>
    </xf>
    <xf numFmtId="0" fontId="12" fillId="18" borderId="2" xfId="0" quotePrefix="1" applyFont="1" applyFill="1" applyBorder="1" applyAlignment="1">
      <alignment horizontal="center" vertical="center" wrapText="1"/>
    </xf>
    <xf numFmtId="0" fontId="12" fillId="18" borderId="2" xfId="0" applyFont="1" applyFill="1" applyBorder="1" applyAlignment="1">
      <alignment horizontal="center" vertical="center"/>
    </xf>
    <xf numFmtId="17" fontId="12" fillId="18" borderId="2" xfId="0" applyNumberFormat="1" applyFont="1" applyFill="1" applyBorder="1" applyAlignment="1">
      <alignment horizontal="center" vertical="center"/>
    </xf>
    <xf numFmtId="0" fontId="12" fillId="18" borderId="75" xfId="0" applyFont="1" applyFill="1" applyBorder="1" applyAlignment="1">
      <alignment horizontal="center" vertical="center"/>
    </xf>
    <xf numFmtId="0" fontId="12" fillId="18" borderId="3" xfId="0" applyFont="1" applyFill="1" applyBorder="1" applyAlignment="1">
      <alignment horizontal="center" vertical="center"/>
    </xf>
    <xf numFmtId="10" fontId="27" fillId="4" borderId="2" xfId="1" applyNumberFormat="1" applyFont="1" applyFill="1" applyBorder="1" applyAlignment="1">
      <alignment horizontal="center" vertical="center"/>
    </xf>
    <xf numFmtId="10" fontId="4" fillId="4" borderId="2" xfId="1" applyNumberFormat="1" applyFont="1" applyFill="1" applyBorder="1" applyAlignment="1">
      <alignment horizontal="center" vertical="center"/>
    </xf>
    <xf numFmtId="164" fontId="55" fillId="4" borderId="20" xfId="0" applyNumberFormat="1" applyFont="1" applyFill="1" applyBorder="1" applyAlignment="1">
      <alignment horizontal="center" vertical="center"/>
    </xf>
    <xf numFmtId="165" fontId="55" fillId="4" borderId="20" xfId="0" applyNumberFormat="1" applyFont="1" applyFill="1" applyBorder="1" applyAlignment="1">
      <alignment horizontal="center" vertical="center"/>
    </xf>
    <xf numFmtId="165" fontId="55" fillId="4" borderId="20" xfId="11" applyNumberFormat="1" applyFont="1" applyFill="1" applyBorder="1" applyAlignment="1">
      <alignment horizontal="center" vertical="center"/>
    </xf>
    <xf numFmtId="10" fontId="42" fillId="4" borderId="2" xfId="8" applyNumberFormat="1" applyFont="1" applyFill="1" applyBorder="1" applyAlignment="1">
      <alignment horizontal="center" vertical="center"/>
    </xf>
    <xf numFmtId="10" fontId="42" fillId="4" borderId="20" xfId="8" applyNumberFormat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right" vertical="center"/>
    </xf>
    <xf numFmtId="0" fontId="7" fillId="2" borderId="41" xfId="0" applyFont="1" applyFill="1" applyBorder="1" applyAlignment="1">
      <alignment horizontal="right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left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6" fillId="8" borderId="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7" fillId="7" borderId="29" xfId="0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right" vertical="center"/>
    </xf>
    <xf numFmtId="0" fontId="28" fillId="0" borderId="29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7" fillId="6" borderId="32" xfId="0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right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left" wrapText="1"/>
    </xf>
    <xf numFmtId="0" fontId="9" fillId="2" borderId="46" xfId="0" applyFont="1" applyFill="1" applyBorder="1" applyAlignment="1">
      <alignment horizontal="center"/>
    </xf>
    <xf numFmtId="0" fontId="9" fillId="2" borderId="47" xfId="0" applyFont="1" applyFill="1" applyBorder="1" applyAlignment="1">
      <alignment horizontal="center"/>
    </xf>
    <xf numFmtId="0" fontId="9" fillId="2" borderId="48" xfId="0" applyFont="1" applyFill="1" applyBorder="1" applyAlignment="1">
      <alignment horizontal="center"/>
    </xf>
    <xf numFmtId="0" fontId="22" fillId="6" borderId="18" xfId="0" applyFont="1" applyFill="1" applyBorder="1" applyAlignment="1">
      <alignment horizontal="center"/>
    </xf>
    <xf numFmtId="0" fontId="22" fillId="6" borderId="19" xfId="0" applyFont="1" applyFill="1" applyBorder="1" applyAlignment="1">
      <alignment horizontal="center"/>
    </xf>
    <xf numFmtId="0" fontId="23" fillId="0" borderId="1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12" borderId="17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3" fillId="14" borderId="14" xfId="0" applyFont="1" applyFill="1" applyBorder="1" applyAlignment="1">
      <alignment horizontal="center" vertical="center" wrapText="1"/>
    </xf>
    <xf numFmtId="0" fontId="23" fillId="10" borderId="14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4" fillId="16" borderId="4" xfId="0" applyFont="1" applyFill="1" applyBorder="1" applyAlignment="1">
      <alignment horizontal="left" vertical="center"/>
    </xf>
    <xf numFmtId="0" fontId="14" fillId="16" borderId="7" xfId="0" applyFont="1" applyFill="1" applyBorder="1" applyAlignment="1">
      <alignment horizontal="left" vertical="center"/>
    </xf>
    <xf numFmtId="0" fontId="14" fillId="16" borderId="3" xfId="0" applyFont="1" applyFill="1" applyBorder="1" applyAlignment="1">
      <alignment horizontal="left" vertical="center"/>
    </xf>
    <xf numFmtId="0" fontId="11" fillId="7" borderId="4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left" vertical="center" wrapText="1"/>
    </xf>
    <xf numFmtId="0" fontId="50" fillId="5" borderId="3" xfId="0" applyFont="1" applyFill="1" applyBorder="1" applyAlignment="1">
      <alignment horizontal="left" vertical="center" wrapText="1"/>
    </xf>
    <xf numFmtId="0" fontId="6" fillId="8" borderId="10" xfId="0" applyFont="1" applyFill="1" applyBorder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2" fillId="6" borderId="75" xfId="0" applyFont="1" applyFill="1" applyBorder="1" applyAlignment="1">
      <alignment horizontal="center" vertical="center" wrapText="1"/>
    </xf>
    <xf numFmtId="0" fontId="22" fillId="6" borderId="77" xfId="0" applyFont="1" applyFill="1" applyBorder="1" applyAlignment="1">
      <alignment horizontal="center" vertical="center" wrapText="1"/>
    </xf>
    <xf numFmtId="0" fontId="38" fillId="0" borderId="74" xfId="0" applyFont="1" applyBorder="1" applyAlignment="1">
      <alignment horizontal="center" vertical="center" textRotation="255"/>
    </xf>
    <xf numFmtId="0" fontId="38" fillId="0" borderId="81" xfId="0" applyFont="1" applyBorder="1" applyAlignment="1">
      <alignment horizontal="center" vertical="center" textRotation="255"/>
    </xf>
    <xf numFmtId="0" fontId="38" fillId="0" borderId="79" xfId="0" applyFont="1" applyBorder="1" applyAlignment="1">
      <alignment horizontal="center" vertical="center" textRotation="255"/>
    </xf>
    <xf numFmtId="0" fontId="38" fillId="0" borderId="78" xfId="0" applyFont="1" applyBorder="1" applyAlignment="1">
      <alignment horizontal="center" vertical="center" textRotation="255"/>
    </xf>
    <xf numFmtId="0" fontId="23" fillId="0" borderId="0" xfId="0" applyFont="1" applyAlignment="1">
      <alignment horizontal="left" wrapText="1"/>
    </xf>
    <xf numFmtId="0" fontId="23" fillId="12" borderId="78" xfId="0" applyFont="1" applyFill="1" applyBorder="1" applyAlignment="1">
      <alignment horizontal="center" vertical="center" wrapText="1"/>
    </xf>
    <xf numFmtId="0" fontId="23" fillId="12" borderId="75" xfId="0" applyFont="1" applyFill="1" applyBorder="1" applyAlignment="1">
      <alignment horizontal="center" vertical="center" wrapText="1"/>
    </xf>
    <xf numFmtId="0" fontId="23" fillId="14" borderId="75" xfId="0" applyFont="1" applyFill="1" applyBorder="1" applyAlignment="1">
      <alignment horizontal="center" vertical="center" wrapText="1"/>
    </xf>
    <xf numFmtId="0" fontId="23" fillId="10" borderId="75" xfId="0" applyFont="1" applyFill="1" applyBorder="1" applyAlignment="1">
      <alignment horizontal="center" vertical="center" wrapText="1"/>
    </xf>
    <xf numFmtId="0" fontId="22" fillId="6" borderId="65" xfId="0" applyFont="1" applyFill="1" applyBorder="1" applyAlignment="1">
      <alignment horizontal="center" vertical="center"/>
    </xf>
    <xf numFmtId="0" fontId="22" fillId="6" borderId="67" xfId="0" applyFont="1" applyFill="1" applyBorder="1" applyAlignment="1">
      <alignment horizontal="center" vertical="center"/>
    </xf>
    <xf numFmtId="0" fontId="22" fillId="6" borderId="68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80" xfId="0" applyFont="1" applyBorder="1" applyAlignment="1">
      <alignment horizontal="center" vertical="center" wrapText="1"/>
    </xf>
    <xf numFmtId="164" fontId="29" fillId="4" borderId="15" xfId="0" applyNumberFormat="1" applyFont="1" applyFill="1" applyBorder="1" applyAlignment="1">
      <alignment horizontal="center" vertical="center"/>
    </xf>
    <xf numFmtId="164" fontId="29" fillId="4" borderId="43" xfId="0" applyNumberFormat="1" applyFont="1" applyFill="1" applyBorder="1" applyAlignment="1">
      <alignment horizontal="center" vertical="center"/>
    </xf>
    <xf numFmtId="2" fontId="22" fillId="6" borderId="62" xfId="1" applyNumberFormat="1" applyFont="1" applyFill="1" applyBorder="1" applyAlignment="1">
      <alignment horizontal="center" vertical="center"/>
    </xf>
    <xf numFmtId="2" fontId="22" fillId="6" borderId="22" xfId="1" applyNumberFormat="1" applyFont="1" applyFill="1" applyBorder="1" applyAlignment="1">
      <alignment horizontal="center" vertical="center"/>
    </xf>
    <xf numFmtId="164" fontId="22" fillId="6" borderId="46" xfId="0" applyNumberFormat="1" applyFont="1" applyFill="1" applyBorder="1" applyAlignment="1">
      <alignment horizontal="center" vertical="center"/>
    </xf>
    <xf numFmtId="164" fontId="22" fillId="6" borderId="48" xfId="0" applyNumberFormat="1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horizontal="right" vertical="center"/>
    </xf>
    <xf numFmtId="0" fontId="22" fillId="6" borderId="13" xfId="0" applyFont="1" applyFill="1" applyBorder="1" applyAlignment="1">
      <alignment horizontal="right" vertical="center"/>
    </xf>
    <xf numFmtId="0" fontId="53" fillId="6" borderId="60" xfId="0" applyFont="1" applyFill="1" applyBorder="1" applyAlignment="1">
      <alignment horizontal="center" vertical="center"/>
    </xf>
    <xf numFmtId="0" fontId="53" fillId="6" borderId="61" xfId="0" applyFont="1" applyFill="1" applyBorder="1" applyAlignment="1">
      <alignment horizontal="center" vertical="center"/>
    </xf>
    <xf numFmtId="0" fontId="23" fillId="0" borderId="55" xfId="0" applyFont="1" applyBorder="1" applyAlignment="1">
      <alignment horizontal="left" vertical="center" wrapText="1"/>
    </xf>
    <xf numFmtId="0" fontId="23" fillId="0" borderId="56" xfId="0" applyFont="1" applyBorder="1" applyAlignment="1">
      <alignment horizontal="left" vertical="center" wrapText="1"/>
    </xf>
    <xf numFmtId="0" fontId="53" fillId="7" borderId="14" xfId="0" applyFont="1" applyFill="1" applyBorder="1" applyAlignment="1">
      <alignment horizontal="right" vertical="center"/>
    </xf>
    <xf numFmtId="0" fontId="53" fillId="7" borderId="20" xfId="0" applyFont="1" applyFill="1" applyBorder="1" applyAlignment="1">
      <alignment horizontal="right" vertical="center"/>
    </xf>
    <xf numFmtId="0" fontId="53" fillId="6" borderId="15" xfId="0" applyFont="1" applyFill="1" applyBorder="1" applyAlignment="1">
      <alignment horizontal="right" vertical="center"/>
    </xf>
    <xf numFmtId="0" fontId="53" fillId="6" borderId="43" xfId="0" applyFont="1" applyFill="1" applyBorder="1" applyAlignment="1">
      <alignment horizontal="right" vertical="center"/>
    </xf>
    <xf numFmtId="0" fontId="23" fillId="0" borderId="62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63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17" fillId="6" borderId="14" xfId="0" applyFont="1" applyFill="1" applyBorder="1" applyAlignment="1">
      <alignment horizontal="right" vertical="center"/>
    </xf>
    <xf numFmtId="0" fontId="17" fillId="6" borderId="20" xfId="0" applyFont="1" applyFill="1" applyBorder="1" applyAlignment="1">
      <alignment horizontal="right" vertical="center"/>
    </xf>
    <xf numFmtId="0" fontId="17" fillId="6" borderId="64" xfId="0" applyFont="1" applyFill="1" applyBorder="1" applyAlignment="1">
      <alignment horizontal="right" vertical="center"/>
    </xf>
    <xf numFmtId="0" fontId="17" fillId="6" borderId="51" xfId="0" applyFont="1" applyFill="1" applyBorder="1" applyAlignment="1">
      <alignment horizontal="right" vertical="center"/>
    </xf>
    <xf numFmtId="0" fontId="17" fillId="6" borderId="15" xfId="0" applyFont="1" applyFill="1" applyBorder="1" applyAlignment="1">
      <alignment horizontal="right" vertical="center"/>
    </xf>
    <xf numFmtId="0" fontId="17" fillId="6" borderId="43" xfId="0" applyFont="1" applyFill="1" applyBorder="1" applyAlignment="1">
      <alignment horizontal="right" vertical="center"/>
    </xf>
    <xf numFmtId="0" fontId="17" fillId="6" borderId="17" xfId="0" applyFont="1" applyFill="1" applyBorder="1" applyAlignment="1">
      <alignment horizontal="right" vertical="center"/>
    </xf>
    <xf numFmtId="0" fontId="17" fillId="6" borderId="19" xfId="0" applyFont="1" applyFill="1" applyBorder="1" applyAlignment="1">
      <alignment horizontal="right" vertical="center"/>
    </xf>
    <xf numFmtId="0" fontId="29" fillId="0" borderId="17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4" borderId="14" xfId="0" applyFont="1" applyFill="1" applyBorder="1" applyAlignment="1">
      <alignment horizontal="center" vertical="center"/>
    </xf>
    <xf numFmtId="0" fontId="29" fillId="4" borderId="20" xfId="0" applyFont="1" applyFill="1" applyBorder="1" applyAlignment="1">
      <alignment horizontal="center" vertical="center"/>
    </xf>
    <xf numFmtId="0" fontId="29" fillId="4" borderId="14" xfId="0" quotePrefix="1" applyFont="1" applyFill="1" applyBorder="1" applyAlignment="1">
      <alignment horizontal="center" vertical="center"/>
    </xf>
    <xf numFmtId="17" fontId="29" fillId="4" borderId="64" xfId="0" applyNumberFormat="1" applyFont="1" applyFill="1" applyBorder="1" applyAlignment="1">
      <alignment horizontal="center" vertical="center"/>
    </xf>
    <xf numFmtId="0" fontId="29" fillId="4" borderId="51" xfId="0" applyFont="1" applyFill="1" applyBorder="1" applyAlignment="1">
      <alignment horizontal="center" vertical="center"/>
    </xf>
    <xf numFmtId="164" fontId="29" fillId="0" borderId="15" xfId="0" applyNumberFormat="1" applyFont="1" applyBorder="1" applyAlignment="1">
      <alignment horizontal="center" vertical="center"/>
    </xf>
    <xf numFmtId="164" fontId="29" fillId="0" borderId="43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17" fontId="29" fillId="0" borderId="64" xfId="0" applyNumberFormat="1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17" fillId="7" borderId="55" xfId="0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vertical="center" wrapText="1"/>
    </xf>
    <xf numFmtId="0" fontId="17" fillId="7" borderId="56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7" fillId="6" borderId="60" xfId="0" applyFont="1" applyFill="1" applyBorder="1" applyAlignment="1">
      <alignment horizontal="center" vertical="center" wrapText="1"/>
    </xf>
    <xf numFmtId="0" fontId="7" fillId="6" borderId="66" xfId="0" applyFont="1" applyFill="1" applyBorder="1" applyAlignment="1">
      <alignment horizontal="center" vertical="center" wrapText="1"/>
    </xf>
    <xf numFmtId="0" fontId="7" fillId="6" borderId="61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52" xfId="0" applyFont="1" applyFill="1" applyBorder="1" applyAlignment="1">
      <alignment horizontal="center" vertical="center" wrapText="1"/>
    </xf>
    <xf numFmtId="0" fontId="7" fillId="6" borderId="53" xfId="0" applyFont="1" applyFill="1" applyBorder="1" applyAlignment="1">
      <alignment horizontal="center" vertical="center" wrapText="1"/>
    </xf>
    <xf numFmtId="0" fontId="7" fillId="6" borderId="54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 wrapText="1"/>
    </xf>
    <xf numFmtId="0" fontId="21" fillId="4" borderId="0" xfId="0" applyFont="1" applyFill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45" fillId="6" borderId="2" xfId="4" applyFont="1" applyFill="1" applyBorder="1" applyAlignment="1">
      <alignment horizontal="center" vertical="center"/>
    </xf>
    <xf numFmtId="0" fontId="41" fillId="0" borderId="11" xfId="4" applyFont="1" applyBorder="1" applyAlignment="1">
      <alignment horizontal="left" vertical="center" wrapText="1"/>
    </xf>
    <xf numFmtId="0" fontId="41" fillId="0" borderId="0" xfId="4" applyFont="1" applyAlignment="1">
      <alignment horizontal="left" vertical="center" wrapText="1"/>
    </xf>
    <xf numFmtId="0" fontId="7" fillId="6" borderId="60" xfId="4" applyFont="1" applyFill="1" applyBorder="1" applyAlignment="1">
      <alignment horizontal="center" vertical="center" wrapText="1"/>
    </xf>
    <xf numFmtId="0" fontId="7" fillId="6" borderId="66" xfId="4" applyFont="1" applyFill="1" applyBorder="1" applyAlignment="1">
      <alignment horizontal="center" vertical="center" wrapText="1"/>
    </xf>
    <xf numFmtId="0" fontId="7" fillId="6" borderId="61" xfId="4" applyFont="1" applyFill="1" applyBorder="1" applyAlignment="1">
      <alignment horizontal="center" vertical="center" wrapText="1"/>
    </xf>
    <xf numFmtId="0" fontId="45" fillId="6" borderId="16" xfId="4" applyFont="1" applyFill="1" applyBorder="1" applyAlignment="1">
      <alignment horizontal="center" vertical="center"/>
    </xf>
    <xf numFmtId="1" fontId="19" fillId="0" borderId="0" xfId="4" applyNumberFormat="1" applyFont="1" applyAlignment="1">
      <alignment horizontal="left" vertical="center"/>
    </xf>
    <xf numFmtId="1" fontId="7" fillId="6" borderId="17" xfId="4" applyNumberFormat="1" applyFont="1" applyFill="1" applyBorder="1" applyAlignment="1">
      <alignment horizontal="center" vertical="center"/>
    </xf>
    <xf numFmtId="1" fontId="7" fillId="6" borderId="18" xfId="4" applyNumberFormat="1" applyFont="1" applyFill="1" applyBorder="1" applyAlignment="1">
      <alignment horizontal="center" vertical="center"/>
    </xf>
    <xf numFmtId="1" fontId="7" fillId="6" borderId="19" xfId="4" applyNumberFormat="1" applyFont="1" applyFill="1" applyBorder="1" applyAlignment="1">
      <alignment horizontal="center" vertical="center"/>
    </xf>
    <xf numFmtId="0" fontId="34" fillId="0" borderId="55" xfId="6" applyFont="1" applyBorder="1" applyAlignment="1">
      <alignment horizontal="center" vertical="center"/>
    </xf>
    <xf numFmtId="0" fontId="34" fillId="0" borderId="0" xfId="6" applyFont="1" applyAlignment="1">
      <alignment horizontal="center" vertical="center"/>
    </xf>
    <xf numFmtId="0" fontId="20" fillId="0" borderId="14" xfId="3" applyFont="1" applyBorder="1" applyAlignment="1">
      <alignment horizontal="lef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19" fillId="0" borderId="14" xfId="3" applyFont="1" applyBorder="1" applyAlignment="1">
      <alignment horizontal="left" vertical="center" wrapText="1"/>
    </xf>
    <xf numFmtId="0" fontId="19" fillId="0" borderId="2" xfId="3" applyFont="1" applyBorder="1" applyAlignment="1">
      <alignment horizontal="left" vertical="center" wrapText="1"/>
    </xf>
    <xf numFmtId="4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/>
    </xf>
    <xf numFmtId="0" fontId="17" fillId="7" borderId="20" xfId="3" applyFont="1" applyFill="1" applyBorder="1" applyAlignment="1">
      <alignment horizontal="center" vertical="center"/>
    </xf>
    <xf numFmtId="0" fontId="19" fillId="8" borderId="2" xfId="3" applyFont="1" applyFill="1" applyBorder="1" applyAlignment="1">
      <alignment horizontal="center" vertical="center"/>
    </xf>
    <xf numFmtId="0" fontId="19" fillId="8" borderId="20" xfId="3" applyFont="1" applyFill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10" fontId="19" fillId="8" borderId="20" xfId="3" applyNumberFormat="1" applyFont="1" applyFill="1" applyBorder="1" applyAlignment="1" applyProtection="1">
      <alignment horizontal="center" vertical="center"/>
      <protection locked="0"/>
    </xf>
    <xf numFmtId="0" fontId="19" fillId="0" borderId="14" xfId="3" applyFont="1" applyBorder="1" applyAlignment="1">
      <alignment horizontal="left" vertical="center"/>
    </xf>
    <xf numFmtId="0" fontId="19" fillId="0" borderId="2" xfId="3" applyFont="1" applyBorder="1" applyAlignment="1">
      <alignment horizontal="left" vertical="center"/>
    </xf>
    <xf numFmtId="0" fontId="9" fillId="2" borderId="46" xfId="3" applyFont="1" applyFill="1" applyBorder="1" applyAlignment="1">
      <alignment horizontal="center" vertical="center"/>
    </xf>
    <xf numFmtId="0" fontId="9" fillId="2" borderId="47" xfId="3" applyFont="1" applyFill="1" applyBorder="1" applyAlignment="1">
      <alignment horizontal="center" vertical="center"/>
    </xf>
    <xf numFmtId="0" fontId="9" fillId="2" borderId="48" xfId="3" applyFont="1" applyFill="1" applyBorder="1" applyAlignment="1">
      <alignment horizontal="center" vertical="center"/>
    </xf>
    <xf numFmtId="0" fontId="39" fillId="0" borderId="21" xfId="5" applyFont="1" applyBorder="1" applyAlignment="1">
      <alignment horizontal="center" vertical="center"/>
    </xf>
    <xf numFmtId="0" fontId="17" fillId="7" borderId="14" xfId="3" applyFont="1" applyFill="1" applyBorder="1" applyAlignment="1">
      <alignment horizontal="left" vertical="center" wrapText="1"/>
    </xf>
    <xf numFmtId="0" fontId="17" fillId="7" borderId="2" xfId="3" applyFont="1" applyFill="1" applyBorder="1" applyAlignment="1">
      <alignment horizontal="left" vertical="center" wrapText="1"/>
    </xf>
    <xf numFmtId="0" fontId="4" fillId="0" borderId="63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58" xfId="3" applyFont="1" applyBorder="1" applyAlignment="1">
      <alignment horizontal="center" vertical="center" wrapText="1"/>
    </xf>
    <xf numFmtId="0" fontId="39" fillId="0" borderId="0" xfId="5" applyFont="1" applyAlignment="1">
      <alignment horizontal="right" vertical="center"/>
    </xf>
    <xf numFmtId="0" fontId="39" fillId="0" borderId="21" xfId="5" applyFont="1" applyBorder="1" applyAlignment="1">
      <alignment horizontal="right" vertical="center"/>
    </xf>
    <xf numFmtId="0" fontId="40" fillId="0" borderId="0" xfId="5" applyFont="1" applyAlignment="1">
      <alignment horizontal="center" vertical="center"/>
    </xf>
    <xf numFmtId="0" fontId="40" fillId="0" borderId="21" xfId="5" applyFont="1" applyBorder="1" applyAlignment="1">
      <alignment horizontal="center" vertical="center"/>
    </xf>
    <xf numFmtId="0" fontId="39" fillId="0" borderId="0" xfId="5" applyFont="1" applyAlignment="1">
      <alignment horizontal="left" vertical="center"/>
    </xf>
    <xf numFmtId="0" fontId="39" fillId="0" borderId="21" xfId="5" applyFont="1" applyBorder="1" applyAlignment="1">
      <alignment horizontal="left" vertical="center"/>
    </xf>
    <xf numFmtId="0" fontId="17" fillId="7" borderId="14" xfId="3" applyFont="1" applyFill="1" applyBorder="1" applyAlignment="1">
      <alignment horizontal="center" vertical="center"/>
    </xf>
  </cellXfs>
  <cellStyles count="12">
    <cellStyle name="Hyperlink" xfId="10" xr:uid="{00000000-000B-0000-0000-000008000000}"/>
    <cellStyle name="Moeda" xfId="11" builtinId="4"/>
    <cellStyle name="Normal" xfId="0" builtinId="0"/>
    <cellStyle name="Normal 2" xfId="3" xr:uid="{800C7265-22EB-446A-897C-CAF6BFBDC5AF}"/>
    <cellStyle name="Normal 3" xfId="4" xr:uid="{79110523-240E-4759-85F1-3208B6DC7F32}"/>
    <cellStyle name="Normal 4" xfId="5" xr:uid="{021D1CA1-6211-402C-A43F-7137087B1432}"/>
    <cellStyle name="Normal 4 2" xfId="6" xr:uid="{67FB20BE-7802-48C6-8A9B-A32146C6D5D5}"/>
    <cellStyle name="Porcentagem" xfId="1" builtinId="5"/>
    <cellStyle name="Porcentagem 2" xfId="8" xr:uid="{BCD0FF9C-607A-420A-B983-BED9C6DA7511}"/>
    <cellStyle name="Porcentagem 3" xfId="2" xr:uid="{941D0CC1-B630-4EEA-9C83-C0E0E626991F}"/>
    <cellStyle name="Separador de milhares 2" xfId="9" xr:uid="{2C1E6948-58F4-4C99-8717-2C597B1ED9AE}"/>
    <cellStyle name="Vírgula 2" xfId="7" xr:uid="{2182D85D-3654-4BF9-A4A9-BEE0D981421D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lor rgb="FFFFC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Medium9"/>
  <colors>
    <mruColors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4B4DE-C6E9-4093-A935-6C218B3A28B4}">
  <sheetPr>
    <pageSetUpPr fitToPage="1"/>
  </sheetPr>
  <dimension ref="B20:B46"/>
  <sheetViews>
    <sheetView tabSelected="1" view="pageBreakPreview" topLeftCell="A10" zoomScaleNormal="100" zoomScaleSheetLayoutView="100" workbookViewId="0">
      <selection activeCell="E17" sqref="E17"/>
    </sheetView>
  </sheetViews>
  <sheetFormatPr defaultColWidth="8.85546875" defaultRowHeight="15" x14ac:dyDescent="0.25"/>
  <cols>
    <col min="1" max="1" width="9.140625" customWidth="1"/>
    <col min="2" max="2" width="85.7109375" customWidth="1"/>
  </cols>
  <sheetData>
    <row r="20" spans="2:2" ht="15.75" x14ac:dyDescent="0.25">
      <c r="B20" s="390" t="s">
        <v>421</v>
      </c>
    </row>
    <row r="24" spans="2:2" ht="78.75" x14ac:dyDescent="0.25">
      <c r="B24" s="358" t="s">
        <v>0</v>
      </c>
    </row>
    <row r="26" spans="2:2" ht="15.75" x14ac:dyDescent="0.25">
      <c r="B26" s="391" t="s">
        <v>420</v>
      </c>
    </row>
    <row r="28" spans="2:2" ht="15.75" x14ac:dyDescent="0.25">
      <c r="B28" s="389" t="s">
        <v>412</v>
      </c>
    </row>
    <row r="32" spans="2:2" x14ac:dyDescent="0.25">
      <c r="B32" s="392" t="s">
        <v>413</v>
      </c>
    </row>
    <row r="38" spans="2:2" x14ac:dyDescent="0.25">
      <c r="B38" s="117" t="s">
        <v>417</v>
      </c>
    </row>
    <row r="41" spans="2:2" ht="15.75" x14ac:dyDescent="0.25">
      <c r="B41" s="387"/>
    </row>
    <row r="42" spans="2:2" ht="15.75" x14ac:dyDescent="0.25">
      <c r="B42" s="388"/>
    </row>
    <row r="43" spans="2:2" ht="15.75" x14ac:dyDescent="0.25">
      <c r="B43" s="387"/>
    </row>
    <row r="44" spans="2:2" ht="15.75" x14ac:dyDescent="0.25">
      <c r="B44" s="388"/>
    </row>
    <row r="45" spans="2:2" ht="15.75" x14ac:dyDescent="0.25">
      <c r="B45" s="388"/>
    </row>
    <row r="46" spans="2:2" ht="15.75" x14ac:dyDescent="0.25">
      <c r="B46" s="388"/>
    </row>
  </sheetData>
  <printOptions horizontalCentered="1"/>
  <pageMargins left="0" right="0" top="0" bottom="0" header="0" footer="0"/>
  <pageSetup paperSize="9" orientation="portrait" horizontalDpi="1200" verticalDpi="1200" r:id="rId1"/>
  <headerFooter>
    <oddHeader>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C278-E276-44C7-BA43-A2139EEB7C9F}">
  <dimension ref="A1:J45"/>
  <sheetViews>
    <sheetView workbookViewId="0">
      <selection sqref="A1:J1"/>
    </sheetView>
  </sheetViews>
  <sheetFormatPr defaultColWidth="9.140625" defaultRowHeight="15" x14ac:dyDescent="0.25"/>
  <cols>
    <col min="1" max="1" width="6.7109375" style="41" bestFit="1" customWidth="1"/>
    <col min="2" max="2" width="9" style="41" bestFit="1" customWidth="1"/>
    <col min="3" max="3" width="13.85546875" style="41" bestFit="1" customWidth="1"/>
    <col min="4" max="4" width="6.7109375" style="41" bestFit="1" customWidth="1"/>
    <col min="5" max="5" width="35.42578125" style="41" customWidth="1"/>
    <col min="6" max="6" width="17" style="41" bestFit="1" customWidth="1"/>
    <col min="7" max="7" width="7.42578125" style="41" bestFit="1" customWidth="1"/>
    <col min="8" max="8" width="8" style="41" bestFit="1" customWidth="1"/>
    <col min="9" max="9" width="14.7109375" style="41" bestFit="1" customWidth="1"/>
    <col min="10" max="10" width="16.42578125" style="41" customWidth="1"/>
    <col min="11" max="16384" width="9.140625" style="41"/>
  </cols>
  <sheetData>
    <row r="1" spans="1:10" ht="16.5" thickBot="1" x14ac:dyDescent="0.3">
      <c r="A1" s="422" t="s">
        <v>2</v>
      </c>
      <c r="B1" s="423"/>
      <c r="C1" s="423"/>
      <c r="D1" s="423"/>
      <c r="E1" s="423"/>
      <c r="F1" s="423"/>
      <c r="G1" s="423"/>
      <c r="H1" s="423"/>
      <c r="I1" s="423"/>
      <c r="J1" s="424"/>
    </row>
    <row r="2" spans="1:10" ht="15.75" thickBot="1" x14ac:dyDescent="0.3"/>
    <row r="3" spans="1:10" x14ac:dyDescent="0.25">
      <c r="A3" s="438" t="s">
        <v>3</v>
      </c>
      <c r="B3" s="439"/>
      <c r="C3" s="439"/>
      <c r="D3" s="439"/>
      <c r="E3" s="439"/>
      <c r="F3" s="439"/>
      <c r="G3" s="439"/>
      <c r="H3" s="439"/>
      <c r="I3" s="439"/>
      <c r="J3" s="440"/>
    </row>
    <row r="4" spans="1:10" ht="25.5" x14ac:dyDescent="0.25">
      <c r="A4" s="1" t="s">
        <v>4</v>
      </c>
      <c r="B4" s="2" t="s">
        <v>5</v>
      </c>
      <c r="C4" s="2" t="s">
        <v>6</v>
      </c>
      <c r="D4" s="3" t="s">
        <v>7</v>
      </c>
      <c r="E4" s="3" t="s">
        <v>8</v>
      </c>
      <c r="F4" s="4" t="s">
        <v>9</v>
      </c>
      <c r="G4" s="3" t="s">
        <v>10</v>
      </c>
      <c r="H4" s="3" t="s">
        <v>11</v>
      </c>
      <c r="I4" s="4" t="s">
        <v>12</v>
      </c>
      <c r="J4" s="5" t="s">
        <v>13</v>
      </c>
    </row>
    <row r="5" spans="1:10" x14ac:dyDescent="0.25">
      <c r="A5" s="6">
        <v>1</v>
      </c>
      <c r="B5" s="429" t="s">
        <v>1</v>
      </c>
      <c r="C5" s="430"/>
      <c r="D5" s="430"/>
      <c r="E5" s="431"/>
      <c r="F5" s="7" t="s">
        <v>14</v>
      </c>
      <c r="G5" s="8"/>
      <c r="H5" s="9"/>
      <c r="I5" s="10" t="e">
        <f>SUM(I6:I17)</f>
        <v>#REF!</v>
      </c>
      <c r="J5" s="290" t="e">
        <f>SUM(J6:J17)</f>
        <v>#REF!</v>
      </c>
    </row>
    <row r="6" spans="1:10" x14ac:dyDescent="0.25">
      <c r="A6" s="274" t="s">
        <v>15</v>
      </c>
      <c r="B6" s="270"/>
      <c r="C6" s="275" t="e">
        <f>'EQUIPE PERMANENTE'!#REF!</f>
        <v>#REF!</v>
      </c>
      <c r="D6" s="267"/>
      <c r="E6" s="295" t="s">
        <v>16</v>
      </c>
      <c r="F6" s="14" t="e">
        <f>'EQUIPE PERMANENTE'!#REF!/6</f>
        <v>#REF!</v>
      </c>
      <c r="G6" s="12" t="s">
        <v>17</v>
      </c>
      <c r="H6" s="15">
        <v>15</v>
      </c>
      <c r="I6" s="14" t="e">
        <f>H6*F6</f>
        <v>#REF!</v>
      </c>
      <c r="J6" s="284" t="e">
        <f t="shared" ref="J6:J17" si="0">I6/$I$25</f>
        <v>#REF!</v>
      </c>
    </row>
    <row r="7" spans="1:10" x14ac:dyDescent="0.25">
      <c r="A7" s="274" t="s">
        <v>18</v>
      </c>
      <c r="B7" s="271">
        <f>'EQUIPE PERMANENTE'!G5</f>
        <v>0</v>
      </c>
      <c r="C7" s="275">
        <f>'EQUIPE PERMANENTE'!G6</f>
        <v>0</v>
      </c>
      <c r="D7" s="267">
        <f>'EQUIPE PERMANENTE'!G7</f>
        <v>0</v>
      </c>
      <c r="E7" s="296" t="s">
        <v>19</v>
      </c>
      <c r="F7" s="14" t="e">
        <f>'EQUIPE PERMANENTE'!G64/6</f>
        <v>#DIV/0!</v>
      </c>
      <c r="G7" s="12" t="s">
        <v>17</v>
      </c>
      <c r="H7" s="18">
        <v>15</v>
      </c>
      <c r="I7" s="14" t="e">
        <f t="shared" ref="I7:I17" si="1">H7*F7</f>
        <v>#DIV/0!</v>
      </c>
      <c r="J7" s="284" t="e">
        <f t="shared" si="0"/>
        <v>#DIV/0!</v>
      </c>
    </row>
    <row r="8" spans="1:10" x14ac:dyDescent="0.25">
      <c r="A8" s="274" t="s">
        <v>20</v>
      </c>
      <c r="B8" s="271" t="e">
        <f>'EQUIPE PERMANENTE'!#REF!</f>
        <v>#REF!</v>
      </c>
      <c r="C8" s="275">
        <f>'EQUIPE PERMANENTE'!G6</f>
        <v>0</v>
      </c>
      <c r="D8" s="267" t="e">
        <f>'EQUIPE PERMANENTE'!#REF!</f>
        <v>#REF!</v>
      </c>
      <c r="E8" s="296" t="s">
        <v>21</v>
      </c>
      <c r="F8" s="14" t="e">
        <f>'EQUIPE PERMANENTE'!#REF!/6</f>
        <v>#REF!</v>
      </c>
      <c r="G8" s="12" t="s">
        <v>17</v>
      </c>
      <c r="H8" s="18">
        <v>15</v>
      </c>
      <c r="I8" s="14" t="e">
        <f t="shared" si="1"/>
        <v>#REF!</v>
      </c>
      <c r="J8" s="284" t="e">
        <f t="shared" si="0"/>
        <v>#REF!</v>
      </c>
    </row>
    <row r="9" spans="1:10" x14ac:dyDescent="0.25">
      <c r="A9" s="274" t="s">
        <v>22</v>
      </c>
      <c r="B9" s="272" t="e">
        <f>'EQUIPE PERMANENTE'!#REF!</f>
        <v>#REF!</v>
      </c>
      <c r="C9" s="275" t="e">
        <f>'EQUIPE PERMANENTE'!#REF!</f>
        <v>#REF!</v>
      </c>
      <c r="D9" s="267" t="e">
        <f>'EQUIPE PERMANENTE'!#REF!</f>
        <v>#REF!</v>
      </c>
      <c r="E9" s="296" t="s">
        <v>23</v>
      </c>
      <c r="F9" s="14" t="e">
        <f>'EQUIPE PERMANENTE'!#REF!/6</f>
        <v>#REF!</v>
      </c>
      <c r="G9" s="12" t="s">
        <v>17</v>
      </c>
      <c r="H9" s="18">
        <v>15</v>
      </c>
      <c r="I9" s="14" t="e">
        <f t="shared" si="1"/>
        <v>#REF!</v>
      </c>
      <c r="J9" s="284" t="e">
        <f t="shared" si="0"/>
        <v>#REF!</v>
      </c>
    </row>
    <row r="10" spans="1:10" x14ac:dyDescent="0.25">
      <c r="A10" s="274" t="s">
        <v>24</v>
      </c>
      <c r="B10" s="271" t="e">
        <f>'EQUIPE PERMANENTE'!#REF!</f>
        <v>#REF!</v>
      </c>
      <c r="C10" s="275" t="e">
        <f>'EQUIPE PERMANENTE'!#REF!</f>
        <v>#REF!</v>
      </c>
      <c r="D10" s="267" t="e">
        <f>'EQUIPE PERMANENTE'!#REF!</f>
        <v>#REF!</v>
      </c>
      <c r="E10" s="17" t="s">
        <v>25</v>
      </c>
      <c r="F10" s="298" t="e">
        <f>'EQUIPE PERMANENTE'!#REF!</f>
        <v>#REF!</v>
      </c>
      <c r="G10" s="12" t="s">
        <v>17</v>
      </c>
      <c r="H10" s="18">
        <v>12</v>
      </c>
      <c r="I10" s="14" t="e">
        <f t="shared" si="1"/>
        <v>#REF!</v>
      </c>
      <c r="J10" s="284" t="e">
        <f t="shared" si="0"/>
        <v>#REF!</v>
      </c>
    </row>
    <row r="11" spans="1:10" x14ac:dyDescent="0.25">
      <c r="A11" s="274" t="s">
        <v>26</v>
      </c>
      <c r="B11" s="273" t="str">
        <f>'EQUIPE PERMANENTE'!I5</f>
        <v>P8112</v>
      </c>
      <c r="C11" s="275" t="str">
        <f>'EQUIPE PERMANENTE'!I6</f>
        <v>DNIT</v>
      </c>
      <c r="D11" s="267">
        <f>'EQUIPE PERMANENTE'!I7</f>
        <v>45658</v>
      </c>
      <c r="E11" s="17" t="s">
        <v>27</v>
      </c>
      <c r="F11" s="14" t="e">
        <f>'EQUIPE PERMANENTE'!I64</f>
        <v>#REF!</v>
      </c>
      <c r="G11" s="12" t="s">
        <v>17</v>
      </c>
      <c r="H11" s="18">
        <v>12</v>
      </c>
      <c r="I11" s="14" t="e">
        <f t="shared" si="1"/>
        <v>#REF!</v>
      </c>
      <c r="J11" s="284" t="e">
        <f t="shared" si="0"/>
        <v>#REF!</v>
      </c>
    </row>
    <row r="12" spans="1:10" x14ac:dyDescent="0.25">
      <c r="A12" s="274" t="s">
        <v>28</v>
      </c>
      <c r="B12" s="272" t="str">
        <f>'EQUIPE PERMANENTE'!K5</f>
        <v>P9808</v>
      </c>
      <c r="C12" s="275" t="str">
        <f>'EQUIPE PERMANENTE'!K6</f>
        <v>DNIT</v>
      </c>
      <c r="D12" s="267">
        <f>'EQUIPE PERMANENTE'!K7</f>
        <v>45658</v>
      </c>
      <c r="E12" s="17" t="s">
        <v>29</v>
      </c>
      <c r="F12" s="14" t="e">
        <f>'EQUIPE PERMANENTE'!K64</f>
        <v>#REF!</v>
      </c>
      <c r="G12" s="12" t="s">
        <v>17</v>
      </c>
      <c r="H12" s="18">
        <v>12</v>
      </c>
      <c r="I12" s="14" t="e">
        <f t="shared" si="1"/>
        <v>#REF!</v>
      </c>
      <c r="J12" s="284" t="e">
        <f t="shared" si="0"/>
        <v>#REF!</v>
      </c>
    </row>
    <row r="13" spans="1:10" x14ac:dyDescent="0.25">
      <c r="A13" s="274" t="s">
        <v>28</v>
      </c>
      <c r="B13" s="272" t="str">
        <f>'EQUIPE PERMANENTE'!K5</f>
        <v>P9808</v>
      </c>
      <c r="C13" s="275" t="str">
        <f>'EQUIPE PERMANENTE'!K6</f>
        <v>DNIT</v>
      </c>
      <c r="D13" s="267">
        <f>'EQUIPE PERMANENTE'!K7</f>
        <v>45658</v>
      </c>
      <c r="E13" s="17" t="s">
        <v>29</v>
      </c>
      <c r="F13" s="14" t="e">
        <f>'EQUIPE PERMANENTE'!K64</f>
        <v>#REF!</v>
      </c>
      <c r="G13" s="12" t="s">
        <v>17</v>
      </c>
      <c r="H13" s="18">
        <v>12</v>
      </c>
      <c r="I13" s="14" t="e">
        <f t="shared" si="1"/>
        <v>#REF!</v>
      </c>
      <c r="J13" s="284" t="e">
        <f t="shared" si="0"/>
        <v>#REF!</v>
      </c>
    </row>
    <row r="14" spans="1:10" x14ac:dyDescent="0.25">
      <c r="A14" s="274" t="s">
        <v>30</v>
      </c>
      <c r="B14" s="272" t="str">
        <f>'EQUIPE PERMANENTE'!M5</f>
        <v>P9801</v>
      </c>
      <c r="C14" s="275" t="str">
        <f>'EQUIPE PERMANENTE'!M6</f>
        <v>DNIT</v>
      </c>
      <c r="D14" s="267">
        <f>'EQUIPE PERMANENTE'!M7</f>
        <v>45658</v>
      </c>
      <c r="E14" s="17" t="s">
        <v>31</v>
      </c>
      <c r="F14" s="14" t="e">
        <f>'EQUIPE PERMANENTE'!M64</f>
        <v>#REF!</v>
      </c>
      <c r="G14" s="12" t="s">
        <v>17</v>
      </c>
      <c r="H14" s="18">
        <v>12</v>
      </c>
      <c r="I14" s="14" t="e">
        <f t="shared" si="1"/>
        <v>#REF!</v>
      </c>
      <c r="J14" s="284" t="e">
        <f t="shared" si="0"/>
        <v>#REF!</v>
      </c>
    </row>
    <row r="15" spans="1:10" x14ac:dyDescent="0.25">
      <c r="A15" s="274" t="s">
        <v>30</v>
      </c>
      <c r="B15" s="272" t="str">
        <f>'EQUIPE PERMANENTE'!M5</f>
        <v>P9801</v>
      </c>
      <c r="C15" s="275" t="str">
        <f>'EQUIPE PERMANENTE'!M6</f>
        <v>DNIT</v>
      </c>
      <c r="D15" s="267">
        <f>'EQUIPE PERMANENTE'!M7</f>
        <v>45658</v>
      </c>
      <c r="E15" s="17" t="s">
        <v>31</v>
      </c>
      <c r="F15" s="14" t="e">
        <f>'EQUIPE PERMANENTE'!M64</f>
        <v>#REF!</v>
      </c>
      <c r="G15" s="12" t="s">
        <v>17</v>
      </c>
      <c r="H15" s="18">
        <v>12</v>
      </c>
      <c r="I15" s="14" t="e">
        <f t="shared" si="1"/>
        <v>#REF!</v>
      </c>
      <c r="J15" s="284" t="e">
        <f t="shared" si="0"/>
        <v>#REF!</v>
      </c>
    </row>
    <row r="16" spans="1:10" x14ac:dyDescent="0.25">
      <c r="A16" s="274" t="s">
        <v>30</v>
      </c>
      <c r="B16" s="272" t="str">
        <f>'EQUIPE PERMANENTE'!M5</f>
        <v>P9801</v>
      </c>
      <c r="C16" s="275" t="str">
        <f>'EQUIPE PERMANENTE'!M6</f>
        <v>DNIT</v>
      </c>
      <c r="D16" s="267">
        <f>'EQUIPE PERMANENTE'!M7</f>
        <v>45658</v>
      </c>
      <c r="E16" s="17" t="s">
        <v>31</v>
      </c>
      <c r="F16" s="14" t="e">
        <f>'EQUIPE PERMANENTE'!M64</f>
        <v>#REF!</v>
      </c>
      <c r="G16" s="12" t="s">
        <v>17</v>
      </c>
      <c r="H16" s="18">
        <v>12</v>
      </c>
      <c r="I16" s="14" t="e">
        <f t="shared" si="1"/>
        <v>#REF!</v>
      </c>
      <c r="J16" s="284" t="e">
        <f t="shared" si="0"/>
        <v>#REF!</v>
      </c>
    </row>
    <row r="17" spans="1:10" x14ac:dyDescent="0.25">
      <c r="A17" s="274" t="s">
        <v>30</v>
      </c>
      <c r="B17" s="272" t="str">
        <f>'EQUIPE PERMANENTE'!M5</f>
        <v>P9801</v>
      </c>
      <c r="C17" s="275" t="str">
        <f>'EQUIPE PERMANENTE'!M6</f>
        <v>DNIT</v>
      </c>
      <c r="D17" s="267">
        <f>'EQUIPE PERMANENTE'!M7</f>
        <v>45658</v>
      </c>
      <c r="E17" s="17" t="s">
        <v>31</v>
      </c>
      <c r="F17" s="14" t="e">
        <f>'EQUIPE PERMANENTE'!M64</f>
        <v>#REF!</v>
      </c>
      <c r="G17" s="12" t="s">
        <v>17</v>
      </c>
      <c r="H17" s="18">
        <v>12</v>
      </c>
      <c r="I17" s="14" t="e">
        <f t="shared" si="1"/>
        <v>#REF!</v>
      </c>
      <c r="J17" s="284" t="e">
        <f t="shared" si="0"/>
        <v>#REF!</v>
      </c>
    </row>
    <row r="18" spans="1:10" x14ac:dyDescent="0.25">
      <c r="A18" s="19">
        <v>2</v>
      </c>
      <c r="B18" s="428" t="s">
        <v>32</v>
      </c>
      <c r="C18" s="426"/>
      <c r="D18" s="426"/>
      <c r="E18" s="427"/>
      <c r="F18" s="21" t="s">
        <v>33</v>
      </c>
      <c r="G18" s="22"/>
      <c r="H18" s="20"/>
      <c r="I18" s="23" t="e">
        <f>SUM(I19:I23)</f>
        <v>#REF!</v>
      </c>
      <c r="J18" s="290" t="e">
        <f>SUM(J19:J23)</f>
        <v>#REF!</v>
      </c>
    </row>
    <row r="19" spans="1:10" x14ac:dyDescent="0.25">
      <c r="A19" s="11" t="s">
        <v>34</v>
      </c>
      <c r="B19" s="15" t="e">
        <f>#REF!</f>
        <v>#REF!</v>
      </c>
      <c r="C19" s="12" t="e">
        <f>#REF!</f>
        <v>#REF!</v>
      </c>
      <c r="D19" s="267" t="e">
        <f>#REF!</f>
        <v>#REF!</v>
      </c>
      <c r="E19" s="13" t="s">
        <v>35</v>
      </c>
      <c r="F19" s="14" t="e">
        <f>#REF!/6</f>
        <v>#REF!</v>
      </c>
      <c r="G19" s="12" t="s">
        <v>17</v>
      </c>
      <c r="H19" s="12">
        <v>15</v>
      </c>
      <c r="I19" s="14" t="e">
        <f>H19*F19</f>
        <v>#REF!</v>
      </c>
      <c r="J19" s="284" t="e">
        <f>I19/$I$25</f>
        <v>#REF!</v>
      </c>
    </row>
    <row r="20" spans="1:10" x14ac:dyDescent="0.25">
      <c r="A20" s="11" t="s">
        <v>36</v>
      </c>
      <c r="B20" s="15" t="e">
        <f>#REF!</f>
        <v>#REF!</v>
      </c>
      <c r="C20" s="12" t="e">
        <f>#REF!</f>
        <v>#REF!</v>
      </c>
      <c r="D20" s="267" t="e">
        <f>#REF!</f>
        <v>#REF!</v>
      </c>
      <c r="E20" s="13" t="s">
        <v>37</v>
      </c>
      <c r="F20" s="14" t="e">
        <f>#REF!</f>
        <v>#REF!</v>
      </c>
      <c r="G20" s="12" t="s">
        <v>17</v>
      </c>
      <c r="H20" s="12">
        <v>12</v>
      </c>
      <c r="I20" s="14" t="e">
        <f t="shared" ref="I20:I23" si="2">H20*F20</f>
        <v>#REF!</v>
      </c>
      <c r="J20" s="284" t="e">
        <f>I20/$I$25</f>
        <v>#REF!</v>
      </c>
    </row>
    <row r="21" spans="1:10" x14ac:dyDescent="0.25">
      <c r="A21" s="11" t="s">
        <v>38</v>
      </c>
      <c r="B21" s="18" t="e">
        <f>#REF!</f>
        <v>#REF!</v>
      </c>
      <c r="C21" s="16" t="e">
        <f>#REF!</f>
        <v>#REF!</v>
      </c>
      <c r="D21" s="282" t="e">
        <f>#REF!</f>
        <v>#REF!</v>
      </c>
      <c r="E21" s="17" t="s">
        <v>39</v>
      </c>
      <c r="F21" s="14" t="e">
        <f>#REF!</f>
        <v>#REF!</v>
      </c>
      <c r="G21" s="12" t="s">
        <v>17</v>
      </c>
      <c r="H21" s="16">
        <v>12</v>
      </c>
      <c r="I21" s="14" t="e">
        <f t="shared" si="2"/>
        <v>#REF!</v>
      </c>
      <c r="J21" s="284" t="e">
        <f>I21/$I$25</f>
        <v>#REF!</v>
      </c>
    </row>
    <row r="22" spans="1:10" x14ac:dyDescent="0.25">
      <c r="A22" s="11" t="s">
        <v>40</v>
      </c>
      <c r="B22" s="18" t="s">
        <v>41</v>
      </c>
      <c r="C22" s="16" t="s">
        <v>42</v>
      </c>
      <c r="D22" s="282">
        <v>45383</v>
      </c>
      <c r="E22" s="24" t="s">
        <v>43</v>
      </c>
      <c r="F22" s="14" t="e">
        <f>#REF!/6</f>
        <v>#REF!</v>
      </c>
      <c r="G22" s="12" t="s">
        <v>17</v>
      </c>
      <c r="H22" s="16">
        <v>15</v>
      </c>
      <c r="I22" s="14" t="e">
        <f t="shared" si="2"/>
        <v>#REF!</v>
      </c>
      <c r="J22" s="284" t="e">
        <f>I22/$I$25</f>
        <v>#REF!</v>
      </c>
    </row>
    <row r="23" spans="1:10" x14ac:dyDescent="0.25">
      <c r="A23" s="11" t="s">
        <v>44</v>
      </c>
      <c r="B23" s="18" t="s">
        <v>41</v>
      </c>
      <c r="C23" s="16" t="s">
        <v>42</v>
      </c>
      <c r="D23" s="282">
        <v>45383</v>
      </c>
      <c r="E23" s="24" t="s">
        <v>45</v>
      </c>
      <c r="F23" s="14" t="e">
        <f>#REF!</f>
        <v>#REF!</v>
      </c>
      <c r="G23" s="12" t="s">
        <v>17</v>
      </c>
      <c r="H23" s="16">
        <v>12</v>
      </c>
      <c r="I23" s="14" t="e">
        <f t="shared" si="2"/>
        <v>#REF!</v>
      </c>
      <c r="J23" s="284" t="e">
        <f>I23/$I$25</f>
        <v>#REF!</v>
      </c>
    </row>
    <row r="24" spans="1:10" x14ac:dyDescent="0.25">
      <c r="A24" s="119"/>
      <c r="B24" s="120"/>
      <c r="C24" s="120"/>
      <c r="D24" s="120"/>
      <c r="E24" s="120"/>
      <c r="F24" s="120"/>
      <c r="G24" s="120"/>
      <c r="H24" s="120"/>
      <c r="I24" s="120"/>
      <c r="J24" s="312"/>
    </row>
    <row r="25" spans="1:10" x14ac:dyDescent="0.25">
      <c r="A25" s="432" t="s">
        <v>46</v>
      </c>
      <c r="B25" s="433"/>
      <c r="C25" s="433"/>
      <c r="D25" s="433"/>
      <c r="E25" s="433"/>
      <c r="F25" s="433"/>
      <c r="G25" s="433"/>
      <c r="H25" s="433"/>
      <c r="I25" s="124" t="e">
        <f>I5+I18</f>
        <v>#REF!</v>
      </c>
      <c r="J25" s="313" t="e">
        <f>I25/I25</f>
        <v>#REF!</v>
      </c>
    </row>
    <row r="26" spans="1:10" x14ac:dyDescent="0.25">
      <c r="A26" s="434" t="s">
        <v>47</v>
      </c>
      <c r="B26" s="435"/>
      <c r="C26" s="435"/>
      <c r="D26" s="435"/>
      <c r="E26" s="435"/>
      <c r="F26" s="435"/>
      <c r="G26" s="435"/>
      <c r="H26" s="435"/>
      <c r="I26" s="121">
        <v>4</v>
      </c>
      <c r="J26" s="122" t="s">
        <v>48</v>
      </c>
    </row>
    <row r="27" spans="1:10" ht="15.75" thickBot="1" x14ac:dyDescent="0.3">
      <c r="A27" s="436" t="s">
        <v>49</v>
      </c>
      <c r="B27" s="437"/>
      <c r="C27" s="437"/>
      <c r="D27" s="437"/>
      <c r="E27" s="437"/>
      <c r="F27" s="437"/>
      <c r="G27" s="437"/>
      <c r="H27" s="437"/>
      <c r="I27" s="126" t="e">
        <f>I25*I26</f>
        <v>#REF!</v>
      </c>
      <c r="J27" s="123" t="s">
        <v>48</v>
      </c>
    </row>
    <row r="28" spans="1:10" ht="48" customHeight="1" thickBot="1" x14ac:dyDescent="0.3">
      <c r="A28" s="120"/>
      <c r="B28" s="120"/>
      <c r="C28" s="120"/>
      <c r="D28" s="120"/>
      <c r="E28" s="120"/>
      <c r="F28" s="120"/>
      <c r="G28" s="120"/>
      <c r="H28" s="120"/>
      <c r="I28" s="120"/>
      <c r="J28" s="120"/>
    </row>
    <row r="29" spans="1:10" x14ac:dyDescent="0.25">
      <c r="A29" s="419" t="s">
        <v>50</v>
      </c>
      <c r="B29" s="420"/>
      <c r="C29" s="420"/>
      <c r="D29" s="420"/>
      <c r="E29" s="420"/>
      <c r="F29" s="420"/>
      <c r="G29" s="420"/>
      <c r="H29" s="420"/>
      <c r="I29" s="420"/>
      <c r="J29" s="421"/>
    </row>
    <row r="30" spans="1:10" ht="25.5" x14ac:dyDescent="0.25">
      <c r="A30" s="1" t="s">
        <v>4</v>
      </c>
      <c r="B30" s="26" t="s">
        <v>5</v>
      </c>
      <c r="C30" s="26" t="s">
        <v>51</v>
      </c>
      <c r="D30" s="4" t="s">
        <v>7</v>
      </c>
      <c r="E30" s="4" t="s">
        <v>8</v>
      </c>
      <c r="F30" s="4" t="s">
        <v>52</v>
      </c>
      <c r="G30" s="3" t="s">
        <v>10</v>
      </c>
      <c r="H30" s="4" t="s">
        <v>11</v>
      </c>
      <c r="I30" s="4" t="s">
        <v>12</v>
      </c>
      <c r="J30" s="5" t="s">
        <v>13</v>
      </c>
    </row>
    <row r="31" spans="1:10" x14ac:dyDescent="0.25">
      <c r="A31" s="27">
        <v>3</v>
      </c>
      <c r="B31" s="425" t="s">
        <v>53</v>
      </c>
      <c r="C31" s="426"/>
      <c r="D31" s="426"/>
      <c r="E31" s="427"/>
      <c r="F31" s="28" t="s">
        <v>54</v>
      </c>
      <c r="G31" s="28"/>
      <c r="H31" s="29"/>
      <c r="I31" s="30" t="e">
        <f>SUM(I32:I34)</f>
        <v>#REF!</v>
      </c>
      <c r="J31" s="292" t="e">
        <f>SUM(J32:J34)</f>
        <v>#REF!</v>
      </c>
    </row>
    <row r="32" spans="1:10" x14ac:dyDescent="0.25">
      <c r="A32" s="31" t="s">
        <v>55</v>
      </c>
      <c r="B32" s="32" t="e">
        <f>#REF!</f>
        <v>#REF!</v>
      </c>
      <c r="C32" s="32" t="e">
        <f>#REF!</f>
        <v>#REF!</v>
      </c>
      <c r="D32" s="266" t="e">
        <f>#REF!</f>
        <v>#REF!</v>
      </c>
      <c r="E32" s="33" t="s">
        <v>56</v>
      </c>
      <c r="F32" s="25" t="e">
        <f>#REF!</f>
        <v>#REF!</v>
      </c>
      <c r="G32" s="32" t="s">
        <v>57</v>
      </c>
      <c r="H32" s="32">
        <v>960</v>
      </c>
      <c r="I32" s="25" t="e">
        <f>H32*F32</f>
        <v>#REF!</v>
      </c>
      <c r="J32" s="314" t="e">
        <f>I32/$I$41</f>
        <v>#REF!</v>
      </c>
    </row>
    <row r="33" spans="1:10" ht="103.5" customHeight="1" x14ac:dyDescent="0.25">
      <c r="A33" s="31" t="s">
        <v>58</v>
      </c>
      <c r="B33" s="32" t="e">
        <f>#REF!</f>
        <v>#REF!</v>
      </c>
      <c r="C33" s="34" t="e">
        <f>#REF!</f>
        <v>#REF!</v>
      </c>
      <c r="D33" s="281" t="e">
        <f>#REF!</f>
        <v>#REF!</v>
      </c>
      <c r="E33" s="311" t="s">
        <v>59</v>
      </c>
      <c r="F33" s="25" t="e">
        <f>#REF!</f>
        <v>#REF!</v>
      </c>
      <c r="G33" s="32" t="s">
        <v>60</v>
      </c>
      <c r="H33" s="32">
        <v>7</v>
      </c>
      <c r="I33" s="25" t="e">
        <f t="shared" ref="I33:I34" si="3">H33*F33</f>
        <v>#REF!</v>
      </c>
      <c r="J33" s="314" t="e">
        <f>I33/$I$41</f>
        <v>#REF!</v>
      </c>
    </row>
    <row r="34" spans="1:10" x14ac:dyDescent="0.25">
      <c r="A34" s="31" t="s">
        <v>61</v>
      </c>
      <c r="B34" s="32" t="e">
        <f>#REF!</f>
        <v>#REF!</v>
      </c>
      <c r="C34" s="34" t="e">
        <f>#REF!</f>
        <v>#REF!</v>
      </c>
      <c r="D34" s="281" t="e">
        <f>#REF!</f>
        <v>#REF!</v>
      </c>
      <c r="E34" s="33" t="s">
        <v>62</v>
      </c>
      <c r="F34" s="25" t="e">
        <f>#REF!</f>
        <v>#REF!</v>
      </c>
      <c r="G34" s="32" t="s">
        <v>60</v>
      </c>
      <c r="H34" s="32">
        <v>12</v>
      </c>
      <c r="I34" s="25" t="e">
        <f t="shared" si="3"/>
        <v>#REF!</v>
      </c>
      <c r="J34" s="314" t="e">
        <f>I34/$I$41</f>
        <v>#REF!</v>
      </c>
    </row>
    <row r="35" spans="1:10" x14ac:dyDescent="0.25">
      <c r="A35" s="27">
        <v>4</v>
      </c>
      <c r="B35" s="425" t="s">
        <v>32</v>
      </c>
      <c r="C35" s="426"/>
      <c r="D35" s="426"/>
      <c r="E35" s="427"/>
      <c r="F35" s="28" t="s">
        <v>33</v>
      </c>
      <c r="G35" s="28"/>
      <c r="H35" s="29"/>
      <c r="I35" s="30" t="e">
        <f>SUM(I36:I39)</f>
        <v>#REF!</v>
      </c>
      <c r="J35" s="292" t="e">
        <f>SUM(J36:J39)</f>
        <v>#REF!</v>
      </c>
    </row>
    <row r="36" spans="1:10" x14ac:dyDescent="0.25">
      <c r="A36" s="31" t="s">
        <v>63</v>
      </c>
      <c r="B36" s="32">
        <v>5678</v>
      </c>
      <c r="C36" s="34" t="s">
        <v>64</v>
      </c>
      <c r="D36" s="281">
        <v>45323</v>
      </c>
      <c r="E36" s="35" t="s">
        <v>65</v>
      </c>
      <c r="F36" s="25" t="e">
        <f>#REF!</f>
        <v>#REF!</v>
      </c>
      <c r="G36" s="32" t="s">
        <v>57</v>
      </c>
      <c r="H36" s="32" t="e">
        <f>#REF!</f>
        <v>#REF!</v>
      </c>
      <c r="I36" s="25" t="e">
        <f>F36*H36</f>
        <v>#REF!</v>
      </c>
      <c r="J36" s="293" t="e">
        <f>I36/$I$41</f>
        <v>#REF!</v>
      </c>
    </row>
    <row r="37" spans="1:10" x14ac:dyDescent="0.25">
      <c r="A37" s="31" t="s">
        <v>66</v>
      </c>
      <c r="B37" s="297" t="s">
        <v>48</v>
      </c>
      <c r="C37" s="32" t="s">
        <v>42</v>
      </c>
      <c r="D37" s="266">
        <v>45383</v>
      </c>
      <c r="E37" s="33" t="s">
        <v>67</v>
      </c>
      <c r="F37" s="25" t="e">
        <f>#REF!</f>
        <v>#REF!</v>
      </c>
      <c r="G37" s="32" t="s">
        <v>68</v>
      </c>
      <c r="H37" s="36">
        <v>3750</v>
      </c>
      <c r="I37" s="25" t="e">
        <f>F37*H37</f>
        <v>#REF!</v>
      </c>
      <c r="J37" s="293" t="e">
        <f t="shared" ref="J37:J39" si="4">I37/$I$41</f>
        <v>#REF!</v>
      </c>
    </row>
    <row r="38" spans="1:10" x14ac:dyDescent="0.25">
      <c r="A38" s="31" t="s">
        <v>69</v>
      </c>
      <c r="B38" s="297" t="s">
        <v>48</v>
      </c>
      <c r="C38" s="32" t="e">
        <f>#REF!</f>
        <v>#REF!</v>
      </c>
      <c r="D38" s="266">
        <v>45383</v>
      </c>
      <c r="E38" s="33" t="s">
        <v>70</v>
      </c>
      <c r="F38" s="25" t="e">
        <f>#REF!</f>
        <v>#REF!</v>
      </c>
      <c r="G38" s="32" t="s">
        <v>68</v>
      </c>
      <c r="H38" s="32" t="e">
        <f>#REF!</f>
        <v>#REF!</v>
      </c>
      <c r="I38" s="25" t="e">
        <f t="shared" ref="I38:I39" si="5">F38*H38</f>
        <v>#REF!</v>
      </c>
      <c r="J38" s="293" t="e">
        <f t="shared" si="4"/>
        <v>#REF!</v>
      </c>
    </row>
    <row r="39" spans="1:10" x14ac:dyDescent="0.25">
      <c r="A39" s="31" t="s">
        <v>71</v>
      </c>
      <c r="B39" s="297" t="s">
        <v>48</v>
      </c>
      <c r="C39" s="32" t="e">
        <f>#REF!</f>
        <v>#REF!</v>
      </c>
      <c r="D39" s="266">
        <v>45383</v>
      </c>
      <c r="E39" s="33" t="s">
        <v>72</v>
      </c>
      <c r="F39" s="25" t="e">
        <f>#REF!</f>
        <v>#REF!</v>
      </c>
      <c r="G39" s="32" t="s">
        <v>68</v>
      </c>
      <c r="H39" s="32" t="e">
        <f>#REF!</f>
        <v>#REF!</v>
      </c>
      <c r="I39" s="25" t="e">
        <f t="shared" si="5"/>
        <v>#REF!</v>
      </c>
      <c r="J39" s="293" t="e">
        <f t="shared" si="4"/>
        <v>#REF!</v>
      </c>
    </row>
    <row r="40" spans="1:10" x14ac:dyDescent="0.25">
      <c r="A40" s="37"/>
      <c r="B40" s="38"/>
      <c r="C40" s="38"/>
      <c r="D40" s="38"/>
      <c r="E40" s="38"/>
      <c r="F40" s="39"/>
      <c r="G40" s="40"/>
      <c r="H40" s="38"/>
      <c r="I40" s="38"/>
      <c r="J40" s="315"/>
    </row>
    <row r="41" spans="1:10" x14ac:dyDescent="0.25">
      <c r="A41" s="432" t="s">
        <v>73</v>
      </c>
      <c r="B41" s="433"/>
      <c r="C41" s="433"/>
      <c r="D41" s="433"/>
      <c r="E41" s="433"/>
      <c r="F41" s="433"/>
      <c r="G41" s="433"/>
      <c r="H41" s="433"/>
      <c r="I41" s="124" t="e">
        <f>I35+I31</f>
        <v>#REF!</v>
      </c>
      <c r="J41" s="291" t="e">
        <f>I41/I41</f>
        <v>#REF!</v>
      </c>
    </row>
    <row r="42" spans="1:10" x14ac:dyDescent="0.25">
      <c r="A42" s="434" t="s">
        <v>47</v>
      </c>
      <c r="B42" s="435"/>
      <c r="C42" s="435"/>
      <c r="D42" s="435"/>
      <c r="E42" s="435"/>
      <c r="F42" s="435"/>
      <c r="G42" s="435"/>
      <c r="H42" s="435"/>
      <c r="I42" s="121">
        <v>4</v>
      </c>
      <c r="J42" s="125" t="s">
        <v>48</v>
      </c>
    </row>
    <row r="43" spans="1:10" ht="15.75" thickBot="1" x14ac:dyDescent="0.3">
      <c r="A43" s="436" t="s">
        <v>74</v>
      </c>
      <c r="B43" s="437"/>
      <c r="C43" s="437"/>
      <c r="D43" s="437"/>
      <c r="E43" s="437"/>
      <c r="F43" s="437"/>
      <c r="G43" s="437"/>
      <c r="H43" s="437"/>
      <c r="I43" s="126" t="e">
        <f>I42*I41</f>
        <v>#REF!</v>
      </c>
      <c r="J43" s="123" t="s">
        <v>48</v>
      </c>
    </row>
    <row r="44" spans="1:10" ht="15.75" thickBot="1" x14ac:dyDescent="0.3">
      <c r="A44" s="120"/>
      <c r="B44" s="120"/>
      <c r="C44" s="120"/>
      <c r="D44" s="120"/>
      <c r="E44" s="120"/>
      <c r="F44" s="120"/>
      <c r="G44" s="120"/>
      <c r="H44" s="120"/>
      <c r="I44" s="120"/>
      <c r="J44" s="120"/>
    </row>
    <row r="45" spans="1:10" ht="15.75" thickBot="1" x14ac:dyDescent="0.3">
      <c r="A45" s="417" t="s">
        <v>75</v>
      </c>
      <c r="B45" s="418"/>
      <c r="C45" s="418"/>
      <c r="D45" s="418"/>
      <c r="E45" s="418"/>
      <c r="F45" s="418"/>
      <c r="G45" s="418"/>
      <c r="H45" s="418"/>
      <c r="I45" s="288" t="e">
        <f>I43+I27</f>
        <v>#REF!</v>
      </c>
      <c r="J45" s="127" t="s">
        <v>48</v>
      </c>
    </row>
  </sheetData>
  <mergeCells count="14">
    <mergeCell ref="A45:H45"/>
    <mergeCell ref="A29:J29"/>
    <mergeCell ref="A1:J1"/>
    <mergeCell ref="B31:E31"/>
    <mergeCell ref="B35:E35"/>
    <mergeCell ref="B18:E18"/>
    <mergeCell ref="B5:E5"/>
    <mergeCell ref="A41:H41"/>
    <mergeCell ref="A42:H42"/>
    <mergeCell ref="A43:H43"/>
    <mergeCell ref="A3:J3"/>
    <mergeCell ref="A25:H25"/>
    <mergeCell ref="A26:H26"/>
    <mergeCell ref="A27:H27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D2F0-3DDA-4E72-941B-8A32788701C7}">
  <dimension ref="A1:J48"/>
  <sheetViews>
    <sheetView workbookViewId="0">
      <selection sqref="A1:J1"/>
    </sheetView>
  </sheetViews>
  <sheetFormatPr defaultColWidth="9.140625" defaultRowHeight="15" x14ac:dyDescent="0.2"/>
  <cols>
    <col min="1" max="1" width="10.85546875" style="43" customWidth="1"/>
    <col min="2" max="2" width="22.7109375" style="43" bestFit="1" customWidth="1"/>
    <col min="3" max="9" width="12.28515625" style="43" bestFit="1" customWidth="1"/>
    <col min="10" max="10" width="13.42578125" style="43" customWidth="1"/>
    <col min="11" max="16384" width="9.140625" style="43"/>
  </cols>
  <sheetData>
    <row r="1" spans="1:10" ht="16.5" thickBot="1" x14ac:dyDescent="0.3">
      <c r="A1" s="442" t="s">
        <v>76</v>
      </c>
      <c r="B1" s="443"/>
      <c r="C1" s="443"/>
      <c r="D1" s="443"/>
      <c r="E1" s="443"/>
      <c r="F1" s="443"/>
      <c r="G1" s="443"/>
      <c r="H1" s="443"/>
      <c r="I1" s="443"/>
      <c r="J1" s="444"/>
    </row>
    <row r="2" spans="1:10" ht="15.75" thickBo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x14ac:dyDescent="0.2">
      <c r="A3" s="453" t="s">
        <v>77</v>
      </c>
      <c r="B3" s="451" t="s">
        <v>78</v>
      </c>
      <c r="C3" s="455" t="s">
        <v>79</v>
      </c>
      <c r="D3" s="455"/>
      <c r="E3" s="109"/>
      <c r="F3" s="455" t="s">
        <v>80</v>
      </c>
      <c r="G3" s="455"/>
      <c r="H3" s="455"/>
      <c r="I3" s="455"/>
      <c r="J3" s="456"/>
    </row>
    <row r="4" spans="1:10" ht="15.75" thickBot="1" x14ac:dyDescent="0.25">
      <c r="A4" s="454"/>
      <c r="B4" s="452"/>
      <c r="C4" s="46" t="s">
        <v>81</v>
      </c>
      <c r="D4" s="46" t="s">
        <v>82</v>
      </c>
      <c r="E4" s="110"/>
      <c r="F4" s="46" t="s">
        <v>83</v>
      </c>
      <c r="G4" s="46" t="s">
        <v>84</v>
      </c>
      <c r="H4" s="46" t="s">
        <v>85</v>
      </c>
      <c r="I4" s="46" t="s">
        <v>86</v>
      </c>
      <c r="J4" s="47" t="s">
        <v>87</v>
      </c>
    </row>
    <row r="5" spans="1:10" x14ac:dyDescent="0.2">
      <c r="A5" s="447" t="s">
        <v>88</v>
      </c>
      <c r="B5" s="48" t="s">
        <v>89</v>
      </c>
      <c r="C5" s="49"/>
      <c r="D5" s="50"/>
      <c r="E5" s="51"/>
      <c r="F5" s="50"/>
      <c r="G5" s="50"/>
      <c r="H5" s="50"/>
      <c r="I5" s="50"/>
      <c r="J5" s="52"/>
    </row>
    <row r="6" spans="1:10" x14ac:dyDescent="0.2">
      <c r="A6" s="448"/>
      <c r="B6" s="53" t="s">
        <v>90</v>
      </c>
      <c r="C6" s="54"/>
      <c r="D6" s="55"/>
      <c r="E6" s="56"/>
      <c r="F6" s="55"/>
      <c r="G6" s="55"/>
      <c r="H6" s="55"/>
      <c r="I6" s="55"/>
      <c r="J6" s="57"/>
    </row>
    <row r="7" spans="1:10" x14ac:dyDescent="0.2">
      <c r="A7" s="448"/>
      <c r="B7" s="53" t="s">
        <v>91</v>
      </c>
      <c r="C7" s="58" t="s">
        <v>92</v>
      </c>
      <c r="D7" s="58" t="s">
        <v>92</v>
      </c>
      <c r="E7" s="56"/>
      <c r="F7" s="55"/>
      <c r="G7" s="55"/>
      <c r="H7" s="55"/>
      <c r="I7" s="55"/>
      <c r="J7" s="57"/>
    </row>
    <row r="8" spans="1:10" x14ac:dyDescent="0.2">
      <c r="A8" s="448" t="s">
        <v>93</v>
      </c>
      <c r="B8" s="53" t="s">
        <v>94</v>
      </c>
      <c r="C8" s="55"/>
      <c r="D8" s="55"/>
      <c r="E8" s="56"/>
      <c r="F8" s="59"/>
      <c r="G8" s="55"/>
      <c r="H8" s="55"/>
      <c r="I8" s="55"/>
      <c r="J8" s="57"/>
    </row>
    <row r="9" spans="1:10" x14ac:dyDescent="0.2">
      <c r="A9" s="448"/>
      <c r="B9" s="53" t="s">
        <v>95</v>
      </c>
      <c r="C9" s="55"/>
      <c r="D9" s="55"/>
      <c r="E9" s="56"/>
      <c r="F9" s="54"/>
      <c r="G9" s="54"/>
      <c r="H9" s="54"/>
      <c r="I9" s="60" t="s">
        <v>96</v>
      </c>
      <c r="J9" s="61"/>
    </row>
    <row r="10" spans="1:10" x14ac:dyDescent="0.2">
      <c r="A10" s="448"/>
      <c r="B10" s="53" t="s">
        <v>97</v>
      </c>
      <c r="C10" s="55"/>
      <c r="D10" s="55"/>
      <c r="E10" s="56"/>
      <c r="F10" s="58" t="s">
        <v>98</v>
      </c>
      <c r="G10" s="58" t="s">
        <v>98</v>
      </c>
      <c r="H10" s="58" t="s">
        <v>98</v>
      </c>
      <c r="I10" s="58" t="s">
        <v>98</v>
      </c>
      <c r="J10" s="62" t="s">
        <v>98</v>
      </c>
    </row>
    <row r="11" spans="1:10" ht="15.75" thickBot="1" x14ac:dyDescent="0.25">
      <c r="A11" s="63" t="s">
        <v>99</v>
      </c>
      <c r="B11" s="64" t="s">
        <v>100</v>
      </c>
      <c r="C11" s="65"/>
      <c r="D11" s="65"/>
      <c r="E11" s="66"/>
      <c r="F11" s="67"/>
      <c r="G11" s="67"/>
      <c r="H11" s="67"/>
      <c r="I11" s="67"/>
      <c r="J11" s="68"/>
    </row>
    <row r="12" spans="1:10" x14ac:dyDescent="0.2">
      <c r="A12" s="449" t="s">
        <v>101</v>
      </c>
      <c r="B12" s="69" t="s">
        <v>102</v>
      </c>
      <c r="C12" s="70" t="e">
        <f>('COMPOSIÇÃO DE CUSTOS - LOTE 3_'!F6+'COMPOSIÇÃO DE CUSTOS - LOTE 3_'!F7+'COMPOSIÇÃO DE CUSTOS - LOTE 3_'!F8+'COMPOSIÇÃO DE CUSTOS - LOTE 3_'!F9+'COMPOSIÇÃO DE CUSTOS - LOTE 3_'!F19+'COMPOSIÇÃO DE CUSTOS - LOTE 3_'!F22)*6</f>
        <v>#REF!</v>
      </c>
      <c r="D12" s="70" t="e">
        <f>('COMPOSIÇÃO DE CUSTOS - LOTE 3_'!F6+'COMPOSIÇÃO DE CUSTOS - LOTE 3_'!F7+'COMPOSIÇÃO DE CUSTOS - LOTE 3_'!F8+'COMPOSIÇÃO DE CUSTOS - LOTE 3_'!F9+'COMPOSIÇÃO DE CUSTOS - LOTE 3_'!F19+'COMPOSIÇÃO DE CUSTOS - LOTE 3_'!F22)*6</f>
        <v>#REF!</v>
      </c>
      <c r="E12" s="71"/>
      <c r="F12" s="70" t="e">
        <f>('COMPOSIÇÃO DE CUSTOS - LOTE 3_'!F6+'COMPOSIÇÃO DE CUSTOS - LOTE 3_'!F7+'COMPOSIÇÃO DE CUSTOS - LOTE 3_'!F8+'COMPOSIÇÃO DE CUSTOS - LOTE 3_'!F9+'COMPOSIÇÃO DE CUSTOS - LOTE 3_'!F19+'COMPOSIÇÃO DE CUSTOS - LOTE 3_'!F22)*6</f>
        <v>#REF!</v>
      </c>
      <c r="G12" s="70" t="e">
        <f>SUM('COMPOSIÇÃO DE CUSTOS - LOTE 3_'!F6:F17,'COMPOSIÇÃO DE CUSTOS - LOTE 3_'!F19:F23)*6</f>
        <v>#REF!</v>
      </c>
      <c r="H12" s="70" t="e">
        <f>SUM('COMPOSIÇÃO DE CUSTOS - LOTE 3_'!F6:F17,'COMPOSIÇÃO DE CUSTOS - LOTE 3_'!F19:F23)*6</f>
        <v>#REF!</v>
      </c>
      <c r="I12" s="70" t="e">
        <f>SUM('COMPOSIÇÃO DE CUSTOS - LOTE 3_'!F6:F17,'COMPOSIÇÃO DE CUSTOS - LOTE 3_'!F19:F23)*6</f>
        <v>#REF!</v>
      </c>
      <c r="J12" s="72" t="e">
        <f>SUM('COMPOSIÇÃO DE CUSTOS - LOTE 3_'!F6:F17,'COMPOSIÇÃO DE CUSTOS - LOTE 3_'!F19:F23)*6</f>
        <v>#REF!</v>
      </c>
    </row>
    <row r="13" spans="1:10" x14ac:dyDescent="0.2">
      <c r="A13" s="450"/>
      <c r="B13" s="73" t="s">
        <v>103</v>
      </c>
      <c r="C13" s="74" t="e">
        <f>C12/$J$44</f>
        <v>#REF!</v>
      </c>
      <c r="D13" s="74" t="e">
        <f>D12/$J$44</f>
        <v>#REF!</v>
      </c>
      <c r="E13" s="74"/>
      <c r="F13" s="74" t="e">
        <f>F12/$J$44</f>
        <v>#REF!</v>
      </c>
      <c r="G13" s="74" t="e">
        <f>G12/$J$44</f>
        <v>#REF!</v>
      </c>
      <c r="H13" s="74" t="e">
        <f>H12/$J$44</f>
        <v>#REF!</v>
      </c>
      <c r="I13" s="74" t="e">
        <f>I12/$J$44</f>
        <v>#REF!</v>
      </c>
      <c r="J13" s="75" t="e">
        <f>J12/$J$44</f>
        <v>#REF!</v>
      </c>
    </row>
    <row r="14" spans="1:10" x14ac:dyDescent="0.2">
      <c r="A14" s="450"/>
      <c r="B14" s="76" t="s">
        <v>104</v>
      </c>
      <c r="C14" s="77" t="e">
        <f>C12</f>
        <v>#REF!</v>
      </c>
      <c r="D14" s="77" t="e">
        <f>D12+C14</f>
        <v>#REF!</v>
      </c>
      <c r="E14" s="78"/>
      <c r="F14" s="77" t="e">
        <f>F12+D14</f>
        <v>#REF!</v>
      </c>
      <c r="G14" s="77" t="e">
        <f>G12+F14</f>
        <v>#REF!</v>
      </c>
      <c r="H14" s="77" t="e">
        <f t="shared" ref="H14:J15" si="0">H12+G14</f>
        <v>#REF!</v>
      </c>
      <c r="I14" s="77" t="e">
        <f t="shared" si="0"/>
        <v>#REF!</v>
      </c>
      <c r="J14" s="79" t="e">
        <f t="shared" si="0"/>
        <v>#REF!</v>
      </c>
    </row>
    <row r="15" spans="1:10" x14ac:dyDescent="0.2">
      <c r="A15" s="450"/>
      <c r="B15" s="73" t="s">
        <v>105</v>
      </c>
      <c r="C15" s="74" t="e">
        <f>C13</f>
        <v>#REF!</v>
      </c>
      <c r="D15" s="74" t="e">
        <f>D13+C15</f>
        <v>#REF!</v>
      </c>
      <c r="E15" s="80"/>
      <c r="F15" s="74" t="e">
        <f>F13+D15</f>
        <v>#REF!</v>
      </c>
      <c r="G15" s="74" t="e">
        <f>G13+F15</f>
        <v>#REF!</v>
      </c>
      <c r="H15" s="74" t="e">
        <f t="shared" si="0"/>
        <v>#REF!</v>
      </c>
      <c r="I15" s="74" t="e">
        <f t="shared" si="0"/>
        <v>#REF!</v>
      </c>
      <c r="J15" s="75" t="e">
        <f t="shared" si="0"/>
        <v>#REF!</v>
      </c>
    </row>
    <row r="16" spans="1:10" x14ac:dyDescent="0.2">
      <c r="A16" s="457" t="s">
        <v>106</v>
      </c>
      <c r="B16" s="81" t="s">
        <v>107</v>
      </c>
      <c r="C16" s="82">
        <v>0</v>
      </c>
      <c r="D16" s="82">
        <v>0</v>
      </c>
      <c r="E16" s="83"/>
      <c r="F16" s="82">
        <v>0</v>
      </c>
      <c r="G16" s="82" t="e">
        <f>'COMPOSIÇÃO DE CUSTOS - LOTE 3_'!I43/12</f>
        <v>#REF!</v>
      </c>
      <c r="H16" s="82" t="e">
        <f>'COMPOSIÇÃO DE CUSTOS - LOTE 3_'!I43/12</f>
        <v>#REF!</v>
      </c>
      <c r="I16" s="82" t="e">
        <f>'COMPOSIÇÃO DE CUSTOS - LOTE 3_'!I43/12</f>
        <v>#REF!</v>
      </c>
      <c r="J16" s="84" t="e">
        <f>'COMPOSIÇÃO DE CUSTOS - LOTE 3_'!I43/12</f>
        <v>#REF!</v>
      </c>
    </row>
    <row r="17" spans="1:10" x14ac:dyDescent="0.2">
      <c r="A17" s="457"/>
      <c r="B17" s="85" t="s">
        <v>103</v>
      </c>
      <c r="C17" s="86" t="e">
        <f>C16/$J$44</f>
        <v>#REF!</v>
      </c>
      <c r="D17" s="86" t="e">
        <f>D16/$J$44</f>
        <v>#REF!</v>
      </c>
      <c r="E17" s="87"/>
      <c r="F17" s="86" t="e">
        <f>F16/$J$44</f>
        <v>#REF!</v>
      </c>
      <c r="G17" s="86" t="e">
        <f>G16/$J$44</f>
        <v>#REF!</v>
      </c>
      <c r="H17" s="86" t="e">
        <f>H16/$J$44</f>
        <v>#REF!</v>
      </c>
      <c r="I17" s="86" t="e">
        <f>I16/$J$44</f>
        <v>#REF!</v>
      </c>
      <c r="J17" s="88" t="e">
        <f>J16/$J$44</f>
        <v>#REF!</v>
      </c>
    </row>
    <row r="18" spans="1:10" x14ac:dyDescent="0.2">
      <c r="A18" s="457"/>
      <c r="B18" s="81" t="s">
        <v>104</v>
      </c>
      <c r="C18" s="82">
        <f>C16</f>
        <v>0</v>
      </c>
      <c r="D18" s="82">
        <f>D16+C18</f>
        <v>0</v>
      </c>
      <c r="E18" s="89"/>
      <c r="F18" s="82">
        <f>F16+D18</f>
        <v>0</v>
      </c>
      <c r="G18" s="82" t="e">
        <f>G16+F18</f>
        <v>#REF!</v>
      </c>
      <c r="H18" s="82" t="e">
        <f t="shared" ref="H18:J19" si="1">H16+G18</f>
        <v>#REF!</v>
      </c>
      <c r="I18" s="82" t="e">
        <f t="shared" si="1"/>
        <v>#REF!</v>
      </c>
      <c r="J18" s="84" t="e">
        <f t="shared" si="1"/>
        <v>#REF!</v>
      </c>
    </row>
    <row r="19" spans="1:10" x14ac:dyDescent="0.2">
      <c r="A19" s="457"/>
      <c r="B19" s="85" t="s">
        <v>105</v>
      </c>
      <c r="C19" s="86" t="e">
        <f>C17</f>
        <v>#REF!</v>
      </c>
      <c r="D19" s="86" t="e">
        <f>D17+C19</f>
        <v>#REF!</v>
      </c>
      <c r="E19" s="86"/>
      <c r="F19" s="86" t="e">
        <f>F17+D19</f>
        <v>#REF!</v>
      </c>
      <c r="G19" s="86" t="e">
        <f>G17+F19</f>
        <v>#REF!</v>
      </c>
      <c r="H19" s="86" t="e">
        <f t="shared" si="1"/>
        <v>#REF!</v>
      </c>
      <c r="I19" s="86" t="e">
        <f t="shared" si="1"/>
        <v>#REF!</v>
      </c>
      <c r="J19" s="88" t="e">
        <f t="shared" si="1"/>
        <v>#REF!</v>
      </c>
    </row>
    <row r="20" spans="1:10" x14ac:dyDescent="0.2">
      <c r="A20" s="458" t="s">
        <v>108</v>
      </c>
      <c r="B20" s="90" t="s">
        <v>102</v>
      </c>
      <c r="C20" s="91" t="e">
        <f>C12+C16</f>
        <v>#REF!</v>
      </c>
      <c r="D20" s="91" t="e">
        <f t="shared" ref="D20:J20" si="2">D12+D16</f>
        <v>#REF!</v>
      </c>
      <c r="E20" s="92"/>
      <c r="F20" s="91" t="e">
        <f t="shared" si="2"/>
        <v>#REF!</v>
      </c>
      <c r="G20" s="91" t="e">
        <f t="shared" si="2"/>
        <v>#REF!</v>
      </c>
      <c r="H20" s="91" t="e">
        <f t="shared" si="2"/>
        <v>#REF!</v>
      </c>
      <c r="I20" s="91" t="e">
        <f t="shared" si="2"/>
        <v>#REF!</v>
      </c>
      <c r="J20" s="93" t="e">
        <f t="shared" si="2"/>
        <v>#REF!</v>
      </c>
    </row>
    <row r="21" spans="1:10" x14ac:dyDescent="0.2">
      <c r="A21" s="458"/>
      <c r="B21" s="94" t="s">
        <v>103</v>
      </c>
      <c r="C21" s="95" t="e">
        <f>C20/$J$44</f>
        <v>#REF!</v>
      </c>
      <c r="D21" s="95" t="e">
        <f>D20/$J$44</f>
        <v>#REF!</v>
      </c>
      <c r="E21" s="95"/>
      <c r="F21" s="95" t="e">
        <f>F20/$J$44</f>
        <v>#REF!</v>
      </c>
      <c r="G21" s="95" t="e">
        <f>G20/$J$44</f>
        <v>#REF!</v>
      </c>
      <c r="H21" s="95" t="e">
        <f>H20/$J$44</f>
        <v>#REF!</v>
      </c>
      <c r="I21" s="95" t="e">
        <f>I20/$J$44</f>
        <v>#REF!</v>
      </c>
      <c r="J21" s="96" t="e">
        <f>J20/$J$44</f>
        <v>#REF!</v>
      </c>
    </row>
    <row r="22" spans="1:10" x14ac:dyDescent="0.2">
      <c r="A22" s="458"/>
      <c r="B22" s="90" t="s">
        <v>104</v>
      </c>
      <c r="C22" s="91" t="e">
        <f>C20</f>
        <v>#REF!</v>
      </c>
      <c r="D22" s="91" t="e">
        <f>D20+C22</f>
        <v>#REF!</v>
      </c>
      <c r="E22" s="92"/>
      <c r="F22" s="91" t="e">
        <f>F20+D22</f>
        <v>#REF!</v>
      </c>
      <c r="G22" s="91" t="e">
        <f>G20+F22</f>
        <v>#REF!</v>
      </c>
      <c r="H22" s="91" t="e">
        <f t="shared" ref="H22:J23" si="3">H20+G22</f>
        <v>#REF!</v>
      </c>
      <c r="I22" s="91" t="e">
        <f t="shared" si="3"/>
        <v>#REF!</v>
      </c>
      <c r="J22" s="93" t="e">
        <f t="shared" si="3"/>
        <v>#REF!</v>
      </c>
    </row>
    <row r="23" spans="1:10" ht="15.75" thickBot="1" x14ac:dyDescent="0.25">
      <c r="A23" s="459"/>
      <c r="B23" s="97" t="s">
        <v>105</v>
      </c>
      <c r="C23" s="98" t="e">
        <f>C22/$J$44</f>
        <v>#REF!</v>
      </c>
      <c r="D23" s="98" t="e">
        <f>D21+C23</f>
        <v>#REF!</v>
      </c>
      <c r="E23" s="99"/>
      <c r="F23" s="98" t="e">
        <f>F21+D23</f>
        <v>#REF!</v>
      </c>
      <c r="G23" s="98" t="e">
        <f>G21+F23</f>
        <v>#REF!</v>
      </c>
      <c r="H23" s="98" t="e">
        <f t="shared" si="3"/>
        <v>#REF!</v>
      </c>
      <c r="I23" s="98" t="e">
        <f t="shared" si="3"/>
        <v>#REF!</v>
      </c>
      <c r="J23" s="100" t="e">
        <f t="shared" si="3"/>
        <v>#REF!</v>
      </c>
    </row>
    <row r="24" spans="1:10" ht="15.75" thickBot="1" x14ac:dyDescent="0.25">
      <c r="A24" s="111"/>
      <c r="B24" s="112"/>
      <c r="C24" s="113"/>
      <c r="D24" s="113"/>
      <c r="E24" s="114"/>
      <c r="F24" s="113"/>
      <c r="G24" s="113"/>
      <c r="H24" s="113"/>
      <c r="I24" s="113"/>
      <c r="J24" s="113"/>
    </row>
    <row r="25" spans="1:10" x14ac:dyDescent="0.2">
      <c r="A25" s="453" t="s">
        <v>77</v>
      </c>
      <c r="B25" s="451" t="s">
        <v>78</v>
      </c>
      <c r="C25" s="445" t="s">
        <v>80</v>
      </c>
      <c r="D25" s="445"/>
      <c r="E25" s="445"/>
      <c r="F25" s="445"/>
      <c r="G25" s="445"/>
      <c r="H25" s="445"/>
      <c r="I25" s="445"/>
      <c r="J25" s="446"/>
    </row>
    <row r="26" spans="1:10" ht="15.75" thickBot="1" x14ac:dyDescent="0.25">
      <c r="A26" s="454"/>
      <c r="B26" s="452"/>
      <c r="C26" s="46" t="s">
        <v>109</v>
      </c>
      <c r="D26" s="46" t="s">
        <v>110</v>
      </c>
      <c r="E26" s="46" t="s">
        <v>111</v>
      </c>
      <c r="F26" s="46" t="s">
        <v>112</v>
      </c>
      <c r="G26" s="46" t="s">
        <v>113</v>
      </c>
      <c r="H26" s="46" t="s">
        <v>114</v>
      </c>
      <c r="I26" s="46" t="s">
        <v>115</v>
      </c>
      <c r="J26" s="47" t="s">
        <v>116</v>
      </c>
    </row>
    <row r="27" spans="1:10" x14ac:dyDescent="0.2">
      <c r="A27" s="447" t="s">
        <v>88</v>
      </c>
      <c r="B27" s="48" t="s">
        <v>89</v>
      </c>
      <c r="C27" s="50"/>
      <c r="D27" s="50"/>
      <c r="E27" s="51"/>
      <c r="F27" s="50"/>
      <c r="G27" s="50"/>
      <c r="H27" s="50"/>
      <c r="I27" s="50"/>
      <c r="J27" s="52"/>
    </row>
    <row r="28" spans="1:10" x14ac:dyDescent="0.2">
      <c r="A28" s="448"/>
      <c r="B28" s="53" t="s">
        <v>90</v>
      </c>
      <c r="C28" s="55"/>
      <c r="D28" s="55"/>
      <c r="E28" s="56"/>
      <c r="F28" s="55"/>
      <c r="G28" s="55"/>
      <c r="H28" s="55"/>
      <c r="I28" s="55"/>
      <c r="J28" s="57"/>
    </row>
    <row r="29" spans="1:10" x14ac:dyDescent="0.2">
      <c r="A29" s="448"/>
      <c r="B29" s="53" t="s">
        <v>91</v>
      </c>
      <c r="C29" s="60" t="s">
        <v>117</v>
      </c>
      <c r="D29" s="155"/>
      <c r="E29" s="56"/>
      <c r="F29" s="155"/>
      <c r="G29" s="155"/>
      <c r="H29" s="155"/>
      <c r="I29" s="60" t="s">
        <v>117</v>
      </c>
      <c r="J29" s="57"/>
    </row>
    <row r="30" spans="1:10" x14ac:dyDescent="0.2">
      <c r="A30" s="448" t="s">
        <v>93</v>
      </c>
      <c r="B30" s="53" t="s">
        <v>94</v>
      </c>
      <c r="C30" s="155"/>
      <c r="D30" s="155"/>
      <c r="E30" s="56"/>
      <c r="F30" s="155"/>
      <c r="G30" s="155"/>
      <c r="H30" s="155"/>
      <c r="I30" s="155"/>
      <c r="J30" s="57"/>
    </row>
    <row r="31" spans="1:10" x14ac:dyDescent="0.2">
      <c r="A31" s="448"/>
      <c r="B31" s="53" t="s">
        <v>95</v>
      </c>
      <c r="C31" s="54"/>
      <c r="D31" s="60" t="s">
        <v>96</v>
      </c>
      <c r="E31" s="101"/>
      <c r="F31" s="54"/>
      <c r="G31" s="60" t="s">
        <v>96</v>
      </c>
      <c r="H31" s="54"/>
      <c r="I31" s="54"/>
      <c r="J31" s="103" t="s">
        <v>96</v>
      </c>
    </row>
    <row r="32" spans="1:10" x14ac:dyDescent="0.2">
      <c r="A32" s="448"/>
      <c r="B32" s="53" t="s">
        <v>97</v>
      </c>
      <c r="C32" s="58" t="s">
        <v>98</v>
      </c>
      <c r="D32" s="58" t="s">
        <v>98</v>
      </c>
      <c r="E32" s="58" t="s">
        <v>98</v>
      </c>
      <c r="F32" s="58" t="s">
        <v>98</v>
      </c>
      <c r="G32" s="58" t="s">
        <v>98</v>
      </c>
      <c r="H32" s="58" t="s">
        <v>98</v>
      </c>
      <c r="I32" s="58" t="s">
        <v>98</v>
      </c>
      <c r="J32" s="62" t="s">
        <v>98</v>
      </c>
    </row>
    <row r="33" spans="1:10" ht="15.75" thickBot="1" x14ac:dyDescent="0.25">
      <c r="A33" s="63" t="s">
        <v>99</v>
      </c>
      <c r="B33" s="64" t="s">
        <v>100</v>
      </c>
      <c r="C33" s="67"/>
      <c r="D33" s="67"/>
      <c r="E33" s="67"/>
      <c r="F33" s="67"/>
      <c r="G33" s="67"/>
      <c r="H33" s="67"/>
      <c r="I33" s="67"/>
      <c r="J33" s="68"/>
    </row>
    <row r="34" spans="1:10" ht="15" customHeight="1" x14ac:dyDescent="0.2">
      <c r="A34" s="449" t="s">
        <v>101</v>
      </c>
      <c r="B34" s="69" t="s">
        <v>102</v>
      </c>
      <c r="C34" s="70" t="e">
        <f>SUM('COMPOSIÇÃO DE CUSTOS - LOTE 3_'!F6:F17,'COMPOSIÇÃO DE CUSTOS - LOTE 3_'!F19:F23)*6</f>
        <v>#REF!</v>
      </c>
      <c r="D34" s="70" t="e">
        <f>SUM('COMPOSIÇÃO DE CUSTOS - LOTE 3_'!F6:F17,'COMPOSIÇÃO DE CUSTOS - LOTE 3_'!F19:F23)*6</f>
        <v>#REF!</v>
      </c>
      <c r="E34" s="285" t="e">
        <f>SUM('COMPOSIÇÃO DE CUSTOS - LOTE 3_'!F6:F17,'COMPOSIÇÃO DE CUSTOS - LOTE 3_'!F19:F23)*6</f>
        <v>#REF!</v>
      </c>
      <c r="F34" s="70" t="e">
        <f>SUM('COMPOSIÇÃO DE CUSTOS - LOTE 3_'!F6:F17,'COMPOSIÇÃO DE CUSTOS - LOTE 3_'!F19:F23)*6</f>
        <v>#REF!</v>
      </c>
      <c r="G34" s="70" t="e">
        <f>SUM('COMPOSIÇÃO DE CUSTOS - LOTE 3_'!F6:F17,'COMPOSIÇÃO DE CUSTOS - LOTE 3_'!F19:F23)*6</f>
        <v>#REF!</v>
      </c>
      <c r="H34" s="70" t="e">
        <f>SUM('COMPOSIÇÃO DE CUSTOS - LOTE 3_'!F6:F17,'COMPOSIÇÃO DE CUSTOS - LOTE 3_'!F19:F23)*6</f>
        <v>#REF!</v>
      </c>
      <c r="I34" s="70" t="e">
        <f>SUM('COMPOSIÇÃO DE CUSTOS - LOTE 3_'!F6:F17,'COMPOSIÇÃO DE CUSTOS - LOTE 3_'!F19:F23)*6</f>
        <v>#REF!</v>
      </c>
      <c r="J34" s="72" t="e">
        <f>SUM('COMPOSIÇÃO DE CUSTOS - LOTE 3_'!F6:F17,'COMPOSIÇÃO DE CUSTOS - LOTE 3_'!F19:F23)*6</f>
        <v>#REF!</v>
      </c>
    </row>
    <row r="35" spans="1:10" x14ac:dyDescent="0.2">
      <c r="A35" s="450"/>
      <c r="B35" s="73" t="s">
        <v>103</v>
      </c>
      <c r="C35" s="74" t="e">
        <f>C34/$J$44</f>
        <v>#REF!</v>
      </c>
      <c r="D35" s="74" t="e">
        <f t="shared" ref="D35:J35" si="4">D34/$J$44</f>
        <v>#REF!</v>
      </c>
      <c r="E35" s="74" t="e">
        <f t="shared" si="4"/>
        <v>#REF!</v>
      </c>
      <c r="F35" s="74" t="e">
        <f t="shared" si="4"/>
        <v>#REF!</v>
      </c>
      <c r="G35" s="74" t="e">
        <f t="shared" si="4"/>
        <v>#REF!</v>
      </c>
      <c r="H35" s="74" t="e">
        <f t="shared" si="4"/>
        <v>#REF!</v>
      </c>
      <c r="I35" s="74" t="e">
        <f t="shared" si="4"/>
        <v>#REF!</v>
      </c>
      <c r="J35" s="75" t="e">
        <f t="shared" si="4"/>
        <v>#REF!</v>
      </c>
    </row>
    <row r="36" spans="1:10" x14ac:dyDescent="0.2">
      <c r="A36" s="450"/>
      <c r="B36" s="76" t="s">
        <v>104</v>
      </c>
      <c r="C36" s="77" t="e">
        <f>J14+C34</f>
        <v>#REF!</v>
      </c>
      <c r="D36" s="77" t="e">
        <f>D34+C36</f>
        <v>#REF!</v>
      </c>
      <c r="E36" s="105" t="e">
        <f t="shared" ref="E36:J37" si="5">E34+D36</f>
        <v>#REF!</v>
      </c>
      <c r="F36" s="77" t="e">
        <f t="shared" si="5"/>
        <v>#REF!</v>
      </c>
      <c r="G36" s="77" t="e">
        <f t="shared" si="5"/>
        <v>#REF!</v>
      </c>
      <c r="H36" s="77" t="e">
        <f t="shared" si="5"/>
        <v>#REF!</v>
      </c>
      <c r="I36" s="77" t="e">
        <f t="shared" si="5"/>
        <v>#REF!</v>
      </c>
      <c r="J36" s="79" t="e">
        <f t="shared" si="5"/>
        <v>#REF!</v>
      </c>
    </row>
    <row r="37" spans="1:10" x14ac:dyDescent="0.2">
      <c r="A37" s="450"/>
      <c r="B37" s="73" t="s">
        <v>105</v>
      </c>
      <c r="C37" s="74" t="e">
        <f>J15+C35</f>
        <v>#REF!</v>
      </c>
      <c r="D37" s="74" t="e">
        <f>D35+C37</f>
        <v>#REF!</v>
      </c>
      <c r="E37" s="106" t="e">
        <f t="shared" si="5"/>
        <v>#REF!</v>
      </c>
      <c r="F37" s="74" t="e">
        <f t="shared" si="5"/>
        <v>#REF!</v>
      </c>
      <c r="G37" s="74" t="e">
        <f t="shared" si="5"/>
        <v>#REF!</v>
      </c>
      <c r="H37" s="74" t="e">
        <f t="shared" si="5"/>
        <v>#REF!</v>
      </c>
      <c r="I37" s="74" t="e">
        <f t="shared" si="5"/>
        <v>#REF!</v>
      </c>
      <c r="J37" s="75" t="e">
        <f t="shared" si="5"/>
        <v>#REF!</v>
      </c>
    </row>
    <row r="38" spans="1:10" ht="15" customHeight="1" x14ac:dyDescent="0.2">
      <c r="A38" s="457" t="s">
        <v>106</v>
      </c>
      <c r="B38" s="81" t="s">
        <v>107</v>
      </c>
      <c r="C38" s="82" t="e">
        <f>'COMPOSIÇÃO DE CUSTOS - LOTE 3_'!I43/12</f>
        <v>#REF!</v>
      </c>
      <c r="D38" s="82" t="e">
        <f>'COMPOSIÇÃO DE CUSTOS - LOTE 3_'!I43/12</f>
        <v>#REF!</v>
      </c>
      <c r="E38" s="286" t="e">
        <f>'COMPOSIÇÃO DE CUSTOS - LOTE 3_'!I43/12</f>
        <v>#REF!</v>
      </c>
      <c r="F38" s="82" t="e">
        <f>'COMPOSIÇÃO DE CUSTOS - LOTE 3_'!I43/12</f>
        <v>#REF!</v>
      </c>
      <c r="G38" s="82" t="e">
        <f>'COMPOSIÇÃO DE CUSTOS - LOTE 3_'!I43/12</f>
        <v>#REF!</v>
      </c>
      <c r="H38" s="82" t="e">
        <f>'COMPOSIÇÃO DE CUSTOS - LOTE 3_'!I43/12</f>
        <v>#REF!</v>
      </c>
      <c r="I38" s="82" t="e">
        <f>'COMPOSIÇÃO DE CUSTOS - LOTE 3_'!I43/12</f>
        <v>#REF!</v>
      </c>
      <c r="J38" s="84" t="e">
        <f>'COMPOSIÇÃO DE CUSTOS - LOTE 3_'!I43/12</f>
        <v>#REF!</v>
      </c>
    </row>
    <row r="39" spans="1:10" x14ac:dyDescent="0.2">
      <c r="A39" s="457"/>
      <c r="B39" s="85" t="s">
        <v>103</v>
      </c>
      <c r="C39" s="86" t="e">
        <f>C38/$J$44</f>
        <v>#REF!</v>
      </c>
      <c r="D39" s="86" t="e">
        <f t="shared" ref="D39:J39" si="6">D38/$J$44</f>
        <v>#REF!</v>
      </c>
      <c r="E39" s="87" t="e">
        <f t="shared" si="6"/>
        <v>#REF!</v>
      </c>
      <c r="F39" s="86" t="e">
        <f t="shared" si="6"/>
        <v>#REF!</v>
      </c>
      <c r="G39" s="86" t="e">
        <f t="shared" si="6"/>
        <v>#REF!</v>
      </c>
      <c r="H39" s="86" t="e">
        <f t="shared" si="6"/>
        <v>#REF!</v>
      </c>
      <c r="I39" s="86" t="e">
        <f t="shared" si="6"/>
        <v>#REF!</v>
      </c>
      <c r="J39" s="88" t="e">
        <f t="shared" si="6"/>
        <v>#REF!</v>
      </c>
    </row>
    <row r="40" spans="1:10" x14ac:dyDescent="0.2">
      <c r="A40" s="457"/>
      <c r="B40" s="81" t="s">
        <v>104</v>
      </c>
      <c r="C40" s="82" t="e">
        <f>J18+C38</f>
        <v>#REF!</v>
      </c>
      <c r="D40" s="82" t="e">
        <f>D38+C40</f>
        <v>#REF!</v>
      </c>
      <c r="E40" s="107" t="e">
        <f t="shared" ref="E40:J41" si="7">E38+D40</f>
        <v>#REF!</v>
      </c>
      <c r="F40" s="82" t="e">
        <f t="shared" si="7"/>
        <v>#REF!</v>
      </c>
      <c r="G40" s="82" t="e">
        <f t="shared" si="7"/>
        <v>#REF!</v>
      </c>
      <c r="H40" s="82" t="e">
        <f t="shared" si="7"/>
        <v>#REF!</v>
      </c>
      <c r="I40" s="82" t="e">
        <f t="shared" si="7"/>
        <v>#REF!</v>
      </c>
      <c r="J40" s="84" t="e">
        <f t="shared" si="7"/>
        <v>#REF!</v>
      </c>
    </row>
    <row r="41" spans="1:10" x14ac:dyDescent="0.2">
      <c r="A41" s="457"/>
      <c r="B41" s="85" t="s">
        <v>105</v>
      </c>
      <c r="C41" s="86" t="e">
        <f>J19+C39</f>
        <v>#REF!</v>
      </c>
      <c r="D41" s="86" t="e">
        <f>D39+C41</f>
        <v>#REF!</v>
      </c>
      <c r="E41" s="86" t="e">
        <f t="shared" si="7"/>
        <v>#REF!</v>
      </c>
      <c r="F41" s="86" t="e">
        <f t="shared" si="7"/>
        <v>#REF!</v>
      </c>
      <c r="G41" s="86" t="e">
        <f t="shared" si="7"/>
        <v>#REF!</v>
      </c>
      <c r="H41" s="86" t="e">
        <f t="shared" si="7"/>
        <v>#REF!</v>
      </c>
      <c r="I41" s="86" t="e">
        <f t="shared" si="7"/>
        <v>#REF!</v>
      </c>
      <c r="J41" s="88" t="e">
        <f t="shared" si="7"/>
        <v>#REF!</v>
      </c>
    </row>
    <row r="42" spans="1:10" x14ac:dyDescent="0.2">
      <c r="A42" s="458" t="s">
        <v>108</v>
      </c>
      <c r="B42" s="90" t="s">
        <v>102</v>
      </c>
      <c r="C42" s="91" t="e">
        <f>C34+C38</f>
        <v>#REF!</v>
      </c>
      <c r="D42" s="91" t="e">
        <f t="shared" ref="D42:J42" si="8">D34+D38</f>
        <v>#REF!</v>
      </c>
      <c r="E42" s="104" t="e">
        <f t="shared" si="8"/>
        <v>#REF!</v>
      </c>
      <c r="F42" s="91" t="e">
        <f t="shared" si="8"/>
        <v>#REF!</v>
      </c>
      <c r="G42" s="91" t="e">
        <f t="shared" si="8"/>
        <v>#REF!</v>
      </c>
      <c r="H42" s="91" t="e">
        <f t="shared" si="8"/>
        <v>#REF!</v>
      </c>
      <c r="I42" s="91" t="e">
        <f t="shared" si="8"/>
        <v>#REF!</v>
      </c>
      <c r="J42" s="93" t="e">
        <f t="shared" si="8"/>
        <v>#REF!</v>
      </c>
    </row>
    <row r="43" spans="1:10" x14ac:dyDescent="0.2">
      <c r="A43" s="458"/>
      <c r="B43" s="94" t="s">
        <v>103</v>
      </c>
      <c r="C43" s="95" t="e">
        <f>C42/$J$44</f>
        <v>#REF!</v>
      </c>
      <c r="D43" s="95" t="e">
        <f t="shared" ref="D43:J43" si="9">D42/$J$44</f>
        <v>#REF!</v>
      </c>
      <c r="E43" s="95" t="e">
        <f t="shared" si="9"/>
        <v>#REF!</v>
      </c>
      <c r="F43" s="95" t="e">
        <f t="shared" si="9"/>
        <v>#REF!</v>
      </c>
      <c r="G43" s="95" t="e">
        <f t="shared" si="9"/>
        <v>#REF!</v>
      </c>
      <c r="H43" s="95" t="e">
        <f t="shared" si="9"/>
        <v>#REF!</v>
      </c>
      <c r="I43" s="95" t="e">
        <f t="shared" si="9"/>
        <v>#REF!</v>
      </c>
      <c r="J43" s="96" t="e">
        <f t="shared" si="9"/>
        <v>#REF!</v>
      </c>
    </row>
    <row r="44" spans="1:10" x14ac:dyDescent="0.2">
      <c r="A44" s="458"/>
      <c r="B44" s="90" t="s">
        <v>104</v>
      </c>
      <c r="C44" s="91" t="e">
        <f>J22+C42</f>
        <v>#REF!</v>
      </c>
      <c r="D44" s="91" t="e">
        <f>D42+C44</f>
        <v>#REF!</v>
      </c>
      <c r="E44" s="104" t="e">
        <f t="shared" ref="E44:J45" si="10">E42+D44</f>
        <v>#REF!</v>
      </c>
      <c r="F44" s="91" t="e">
        <f t="shared" si="10"/>
        <v>#REF!</v>
      </c>
      <c r="G44" s="91" t="e">
        <f t="shared" si="10"/>
        <v>#REF!</v>
      </c>
      <c r="H44" s="91" t="e">
        <f t="shared" si="10"/>
        <v>#REF!</v>
      </c>
      <c r="I44" s="91" t="e">
        <f t="shared" si="10"/>
        <v>#REF!</v>
      </c>
      <c r="J44" s="93" t="e">
        <f>J42+I44</f>
        <v>#REF!</v>
      </c>
    </row>
    <row r="45" spans="1:10" ht="15.75" thickBot="1" x14ac:dyDescent="0.25">
      <c r="A45" s="459"/>
      <c r="B45" s="97" t="s">
        <v>105</v>
      </c>
      <c r="C45" s="98" t="e">
        <f>J23+C43</f>
        <v>#REF!</v>
      </c>
      <c r="D45" s="98" t="e">
        <f>D43+C45</f>
        <v>#REF!</v>
      </c>
      <c r="E45" s="108" t="e">
        <f t="shared" si="10"/>
        <v>#REF!</v>
      </c>
      <c r="F45" s="98" t="e">
        <f t="shared" si="10"/>
        <v>#REF!</v>
      </c>
      <c r="G45" s="98" t="e">
        <f t="shared" si="10"/>
        <v>#REF!</v>
      </c>
      <c r="H45" s="98" t="e">
        <f t="shared" si="10"/>
        <v>#REF!</v>
      </c>
      <c r="I45" s="98" t="e">
        <f t="shared" si="10"/>
        <v>#REF!</v>
      </c>
      <c r="J45" s="100" t="e">
        <f t="shared" si="10"/>
        <v>#REF!</v>
      </c>
    </row>
    <row r="46" spans="1:10" ht="24.75" customHeight="1" x14ac:dyDescent="0.2">
      <c r="A46" s="441" t="s">
        <v>118</v>
      </c>
      <c r="B46" s="441"/>
      <c r="C46" s="441"/>
      <c r="D46" s="441"/>
      <c r="E46" s="441"/>
      <c r="F46" s="441"/>
      <c r="G46" s="441"/>
      <c r="H46" s="441"/>
      <c r="I46" s="441"/>
      <c r="J46" s="441"/>
    </row>
    <row r="47" spans="1:10" x14ac:dyDescent="0.2">
      <c r="A47" s="112"/>
      <c r="B47" s="116"/>
      <c r="C47" s="116"/>
      <c r="D47" s="116"/>
      <c r="E47" s="116"/>
      <c r="F47" s="116"/>
      <c r="G47" s="116"/>
      <c r="H47" s="116"/>
      <c r="I47" s="116"/>
      <c r="J47" s="116"/>
    </row>
    <row r="48" spans="1:10" x14ac:dyDescent="0.2">
      <c r="A48" s="115"/>
      <c r="B48" s="115"/>
      <c r="C48" s="115"/>
      <c r="D48" s="115"/>
      <c r="E48" s="115"/>
      <c r="F48" s="115"/>
      <c r="G48" s="115"/>
      <c r="H48" s="115"/>
      <c r="I48" s="115"/>
      <c r="J48" s="115"/>
    </row>
  </sheetData>
  <mergeCells count="19">
    <mergeCell ref="A16:A19"/>
    <mergeCell ref="A20:A23"/>
    <mergeCell ref="A25:A26"/>
    <mergeCell ref="A46:J46"/>
    <mergeCell ref="A1:J1"/>
    <mergeCell ref="C25:J25"/>
    <mergeCell ref="A27:A29"/>
    <mergeCell ref="A30:A32"/>
    <mergeCell ref="A34:A37"/>
    <mergeCell ref="B25:B26"/>
    <mergeCell ref="A3:A4"/>
    <mergeCell ref="B3:B4"/>
    <mergeCell ref="C3:D3"/>
    <mergeCell ref="F3:J3"/>
    <mergeCell ref="A5:A7"/>
    <mergeCell ref="A38:A41"/>
    <mergeCell ref="A42:A45"/>
    <mergeCell ref="A8:A10"/>
    <mergeCell ref="A12:A1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C3B9F-1F60-443E-AD68-0B647C7A55D2}">
  <dimension ref="A1:N27"/>
  <sheetViews>
    <sheetView zoomScale="120" zoomScaleNormal="120" workbookViewId="0">
      <selection activeCell="E36" sqref="E36"/>
    </sheetView>
  </sheetViews>
  <sheetFormatPr defaultColWidth="9.140625" defaultRowHeight="15" x14ac:dyDescent="0.25"/>
  <cols>
    <col min="1" max="1" width="5.28515625" style="41" bestFit="1" customWidth="1"/>
    <col min="2" max="2" width="9" style="41" bestFit="1" customWidth="1"/>
    <col min="3" max="3" width="14.42578125" style="41" bestFit="1" customWidth="1"/>
    <col min="4" max="4" width="8.7109375" style="41" bestFit="1" customWidth="1"/>
    <col min="5" max="5" width="35.7109375" style="41" customWidth="1"/>
    <col min="6" max="6" width="17.28515625" style="41" bestFit="1" customWidth="1"/>
    <col min="7" max="7" width="15.85546875" style="41" bestFit="1" customWidth="1"/>
    <col min="8" max="8" width="7.42578125" style="41" bestFit="1" customWidth="1"/>
    <col min="9" max="9" width="9.85546875" style="41" customWidth="1"/>
    <col min="10" max="10" width="15.28515625" style="41" customWidth="1"/>
    <col min="11" max="11" width="13.42578125" style="41" customWidth="1"/>
    <col min="12" max="12" width="9.140625" style="41"/>
    <col min="13" max="13" width="31.140625" style="367" bestFit="1" customWidth="1"/>
    <col min="14" max="14" width="18.42578125" style="366" bestFit="1" customWidth="1"/>
    <col min="15" max="16384" width="9.140625" style="41"/>
  </cols>
  <sheetData>
    <row r="1" spans="1:11" ht="16.5" thickBot="1" x14ac:dyDescent="0.3">
      <c r="A1" s="422" t="s">
        <v>414</v>
      </c>
      <c r="B1" s="423"/>
      <c r="C1" s="423"/>
      <c r="D1" s="423"/>
      <c r="E1" s="423"/>
      <c r="F1" s="423"/>
      <c r="G1" s="423"/>
      <c r="H1" s="423"/>
      <c r="I1" s="423"/>
      <c r="J1" s="423"/>
      <c r="K1" s="424"/>
    </row>
    <row r="2" spans="1:11" ht="15.75" thickBot="1" x14ac:dyDescent="0.3"/>
    <row r="3" spans="1:11" x14ac:dyDescent="0.25">
      <c r="A3" s="438" t="s">
        <v>409</v>
      </c>
      <c r="B3" s="439"/>
      <c r="C3" s="439"/>
      <c r="D3" s="439"/>
      <c r="E3" s="439"/>
      <c r="F3" s="439"/>
      <c r="G3" s="439"/>
      <c r="H3" s="439"/>
      <c r="I3" s="439"/>
      <c r="J3" s="439"/>
      <c r="K3" s="440"/>
    </row>
    <row r="4" spans="1:11" ht="25.5" x14ac:dyDescent="0.25">
      <c r="A4" s="1" t="s">
        <v>4</v>
      </c>
      <c r="B4" s="2" t="s">
        <v>5</v>
      </c>
      <c r="C4" s="2" t="s">
        <v>6</v>
      </c>
      <c r="D4" s="3" t="s">
        <v>7</v>
      </c>
      <c r="E4" s="463" t="s">
        <v>8</v>
      </c>
      <c r="F4" s="464"/>
      <c r="G4" s="4" t="s">
        <v>9</v>
      </c>
      <c r="H4" s="3" t="s">
        <v>10</v>
      </c>
      <c r="I4" s="3" t="s">
        <v>11</v>
      </c>
      <c r="J4" s="4" t="s">
        <v>12</v>
      </c>
      <c r="K4" s="5" t="s">
        <v>13</v>
      </c>
    </row>
    <row r="5" spans="1:11" x14ac:dyDescent="0.25">
      <c r="A5" s="6">
        <v>1</v>
      </c>
      <c r="B5" s="429" t="s">
        <v>1</v>
      </c>
      <c r="C5" s="467"/>
      <c r="D5" s="467"/>
      <c r="E5" s="467"/>
      <c r="F5" s="467"/>
      <c r="G5" s="7" t="s">
        <v>14</v>
      </c>
      <c r="H5" s="8"/>
      <c r="I5" s="9"/>
      <c r="J5" s="10" t="e">
        <f>SUM(J6:J7)</f>
        <v>#DIV/0!</v>
      </c>
      <c r="K5" s="290" t="e">
        <f>SUM(K6:K7)</f>
        <v>#DIV/0!</v>
      </c>
    </row>
    <row r="6" spans="1:11" x14ac:dyDescent="0.25">
      <c r="A6" s="274" t="s">
        <v>15</v>
      </c>
      <c r="B6" s="408"/>
      <c r="C6" s="409"/>
      <c r="D6" s="407"/>
      <c r="E6" s="465" t="s">
        <v>16</v>
      </c>
      <c r="F6" s="466"/>
      <c r="G6" s="25" t="e">
        <f>('EQUIPE PERMANENTE'!D64)/2</f>
        <v>#DIV/0!</v>
      </c>
      <c r="H6" s="12" t="s">
        <v>17</v>
      </c>
      <c r="I6" s="15">
        <v>12</v>
      </c>
      <c r="J6" s="14" t="e">
        <f>I6*G6</f>
        <v>#DIV/0!</v>
      </c>
      <c r="K6" s="284" t="e">
        <f>J6/$J$8</f>
        <v>#DIV/0!</v>
      </c>
    </row>
    <row r="7" spans="1:11" x14ac:dyDescent="0.25">
      <c r="A7" s="274" t="s">
        <v>18</v>
      </c>
      <c r="B7" s="408"/>
      <c r="C7" s="409"/>
      <c r="D7" s="404"/>
      <c r="E7" s="465" t="s">
        <v>408</v>
      </c>
      <c r="F7" s="466"/>
      <c r="G7" s="25" t="e">
        <f>('EQUIPE PERMANENTE'!G64)</f>
        <v>#DIV/0!</v>
      </c>
      <c r="H7" s="12" t="s">
        <v>17</v>
      </c>
      <c r="I7" s="15">
        <v>12</v>
      </c>
      <c r="J7" s="14" t="e">
        <f>I7*G7</f>
        <v>#DIV/0!</v>
      </c>
      <c r="K7" s="284" t="e">
        <f>J7/$J$8</f>
        <v>#DIV/0!</v>
      </c>
    </row>
    <row r="8" spans="1:11" x14ac:dyDescent="0.25">
      <c r="A8" s="432" t="s">
        <v>46</v>
      </c>
      <c r="B8" s="433"/>
      <c r="C8" s="433"/>
      <c r="D8" s="433"/>
      <c r="E8" s="433"/>
      <c r="F8" s="433"/>
      <c r="G8" s="433"/>
      <c r="H8" s="433"/>
      <c r="I8" s="433"/>
      <c r="J8" s="124" t="e">
        <f>J5</f>
        <v>#DIV/0!</v>
      </c>
      <c r="K8" s="291" t="e">
        <f>J8/J8</f>
        <v>#DIV/0!</v>
      </c>
    </row>
    <row r="9" spans="1:11" x14ac:dyDescent="0.25">
      <c r="A9" s="434" t="s">
        <v>47</v>
      </c>
      <c r="B9" s="435"/>
      <c r="C9" s="435"/>
      <c r="D9" s="435"/>
      <c r="E9" s="435"/>
      <c r="F9" s="435"/>
      <c r="G9" s="435"/>
      <c r="H9" s="435"/>
      <c r="I9" s="435"/>
      <c r="J9" s="121">
        <v>1</v>
      </c>
      <c r="K9" s="122" t="s">
        <v>48</v>
      </c>
    </row>
    <row r="10" spans="1:11" ht="15.75" thickBot="1" x14ac:dyDescent="0.3">
      <c r="A10" s="436" t="s">
        <v>49</v>
      </c>
      <c r="B10" s="437"/>
      <c r="C10" s="437"/>
      <c r="D10" s="437"/>
      <c r="E10" s="437"/>
      <c r="F10" s="437"/>
      <c r="G10" s="437"/>
      <c r="H10" s="437"/>
      <c r="I10" s="437"/>
      <c r="J10" s="287" t="e">
        <f>J8*J9</f>
        <v>#DIV/0!</v>
      </c>
      <c r="K10" s="123" t="s">
        <v>48</v>
      </c>
    </row>
    <row r="11" spans="1:11" ht="30" customHeight="1" thickBot="1" x14ac:dyDescent="0.3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</row>
    <row r="12" spans="1:11" x14ac:dyDescent="0.25">
      <c r="A12" s="419" t="s">
        <v>410</v>
      </c>
      <c r="B12" s="420"/>
      <c r="C12" s="420"/>
      <c r="D12" s="420"/>
      <c r="E12" s="420"/>
      <c r="F12" s="420"/>
      <c r="G12" s="420"/>
      <c r="H12" s="420"/>
      <c r="I12" s="420"/>
      <c r="J12" s="420"/>
      <c r="K12" s="421"/>
    </row>
    <row r="13" spans="1:11" ht="25.5" x14ac:dyDescent="0.25">
      <c r="A13" s="1" t="s">
        <v>4</v>
      </c>
      <c r="B13" s="26" t="s">
        <v>5</v>
      </c>
      <c r="C13" s="26" t="s">
        <v>6</v>
      </c>
      <c r="D13" s="4" t="s">
        <v>7</v>
      </c>
      <c r="E13" s="4" t="s">
        <v>8</v>
      </c>
      <c r="F13" s="4" t="s">
        <v>52</v>
      </c>
      <c r="G13" s="4" t="s">
        <v>52</v>
      </c>
      <c r="H13" s="3" t="s">
        <v>10</v>
      </c>
      <c r="I13" s="3" t="s">
        <v>11</v>
      </c>
      <c r="J13" s="4" t="s">
        <v>12</v>
      </c>
      <c r="K13" s="5" t="s">
        <v>13</v>
      </c>
    </row>
    <row r="14" spans="1:11" x14ac:dyDescent="0.25">
      <c r="A14" s="27">
        <v>1</v>
      </c>
      <c r="B14" s="460" t="s">
        <v>32</v>
      </c>
      <c r="C14" s="461"/>
      <c r="D14" s="461"/>
      <c r="E14" s="462"/>
      <c r="F14" s="394"/>
      <c r="G14" s="22" t="s">
        <v>33</v>
      </c>
      <c r="H14" s="22"/>
      <c r="I14" s="354"/>
      <c r="J14" s="23">
        <f>SUM(J15:J18)</f>
        <v>0</v>
      </c>
      <c r="K14" s="292" t="e">
        <f>SUM(K15:K18)</f>
        <v>#DIV/0!</v>
      </c>
    </row>
    <row r="15" spans="1:11" x14ac:dyDescent="0.25">
      <c r="A15" s="31" t="s">
        <v>15</v>
      </c>
      <c r="B15" s="399"/>
      <c r="C15" s="400"/>
      <c r="D15" s="401"/>
      <c r="E15" s="33" t="s">
        <v>70</v>
      </c>
      <c r="F15" s="396"/>
      <c r="G15" s="395">
        <f>F15*'FATOR K'!$K$21</f>
        <v>0</v>
      </c>
      <c r="H15" s="32" t="s">
        <v>68</v>
      </c>
      <c r="I15" s="32">
        <v>144</v>
      </c>
      <c r="J15" s="25">
        <f t="shared" ref="J15:J16" si="0">G15*I15</f>
        <v>0</v>
      </c>
      <c r="K15" s="293" t="e">
        <f>J15/$J$20</f>
        <v>#DIV/0!</v>
      </c>
    </row>
    <row r="16" spans="1:11" x14ac:dyDescent="0.25">
      <c r="A16" s="31" t="s">
        <v>18</v>
      </c>
      <c r="B16" s="399"/>
      <c r="C16" s="400"/>
      <c r="D16" s="401"/>
      <c r="E16" s="33" t="s">
        <v>72</v>
      </c>
      <c r="F16" s="396"/>
      <c r="G16" s="395">
        <f>F16*'FATOR K'!$K$21</f>
        <v>0</v>
      </c>
      <c r="H16" s="32" t="s">
        <v>68</v>
      </c>
      <c r="I16" s="32">
        <v>288</v>
      </c>
      <c r="J16" s="25">
        <f t="shared" si="0"/>
        <v>0</v>
      </c>
      <c r="K16" s="293" t="e">
        <f>J16/$J$20</f>
        <v>#DIV/0!</v>
      </c>
    </row>
    <row r="17" spans="1:13" ht="25.5" x14ac:dyDescent="0.25">
      <c r="A17" s="11" t="s">
        <v>34</v>
      </c>
      <c r="B17" s="402"/>
      <c r="C17" s="403"/>
      <c r="D17" s="404"/>
      <c r="E17" s="386" t="s">
        <v>122</v>
      </c>
      <c r="F17" s="397"/>
      <c r="G17" s="395">
        <f>F17*'FATOR K'!$K$21</f>
        <v>0</v>
      </c>
      <c r="H17" s="12" t="s">
        <v>17</v>
      </c>
      <c r="I17" s="12">
        <v>12</v>
      </c>
      <c r="J17" s="14">
        <f>I17*G17</f>
        <v>0</v>
      </c>
      <c r="K17" s="289" t="e">
        <f>J17/$J$20</f>
        <v>#DIV/0!</v>
      </c>
    </row>
    <row r="18" spans="1:13" x14ac:dyDescent="0.25">
      <c r="A18" s="11" t="s">
        <v>36</v>
      </c>
      <c r="B18" s="405"/>
      <c r="C18" s="406"/>
      <c r="D18" s="407"/>
      <c r="E18" s="24" t="s">
        <v>43</v>
      </c>
      <c r="F18" s="398"/>
      <c r="G18" s="395">
        <f>F18*'FATOR K'!$K$21</f>
        <v>0</v>
      </c>
      <c r="H18" s="12" t="s">
        <v>17</v>
      </c>
      <c r="I18" s="16">
        <v>12</v>
      </c>
      <c r="J18" s="14">
        <f t="shared" ref="J18" si="1">I18*G18</f>
        <v>0</v>
      </c>
      <c r="K18" s="289" t="e">
        <f>J18/$J$20</f>
        <v>#DIV/0!</v>
      </c>
    </row>
    <row r="19" spans="1:13" x14ac:dyDescent="0.25">
      <c r="A19" s="37"/>
      <c r="B19" s="38"/>
      <c r="C19" s="38"/>
      <c r="D19" s="38"/>
      <c r="E19" s="38"/>
      <c r="F19" s="38"/>
      <c r="G19" s="39"/>
      <c r="H19" s="40"/>
      <c r="I19" s="38"/>
      <c r="J19" s="38"/>
      <c r="K19" s="294"/>
    </row>
    <row r="20" spans="1:13" x14ac:dyDescent="0.25">
      <c r="A20" s="432" t="s">
        <v>73</v>
      </c>
      <c r="B20" s="433"/>
      <c r="C20" s="433"/>
      <c r="D20" s="433"/>
      <c r="E20" s="433"/>
      <c r="F20" s="433"/>
      <c r="G20" s="433"/>
      <c r="H20" s="433"/>
      <c r="I20" s="433"/>
      <c r="J20" s="124">
        <f>J14</f>
        <v>0</v>
      </c>
      <c r="K20" s="291" t="e">
        <f>J20/J20</f>
        <v>#DIV/0!</v>
      </c>
    </row>
    <row r="21" spans="1:13" x14ac:dyDescent="0.25">
      <c r="A21" s="434" t="s">
        <v>47</v>
      </c>
      <c r="B21" s="435"/>
      <c r="C21" s="435"/>
      <c r="D21" s="435"/>
      <c r="E21" s="435"/>
      <c r="F21" s="435"/>
      <c r="G21" s="435"/>
      <c r="H21" s="435"/>
      <c r="I21" s="435"/>
      <c r="J21" s="121">
        <v>1</v>
      </c>
      <c r="K21" s="122" t="s">
        <v>48</v>
      </c>
    </row>
    <row r="22" spans="1:13" ht="15.75" thickBot="1" x14ac:dyDescent="0.3">
      <c r="A22" s="436" t="s">
        <v>74</v>
      </c>
      <c r="B22" s="437"/>
      <c r="C22" s="437"/>
      <c r="D22" s="437"/>
      <c r="E22" s="437"/>
      <c r="F22" s="437"/>
      <c r="G22" s="437"/>
      <c r="H22" s="437"/>
      <c r="I22" s="437"/>
      <c r="J22" s="126">
        <f>J21*J20</f>
        <v>0</v>
      </c>
      <c r="K22" s="123" t="s">
        <v>48</v>
      </c>
      <c r="M22" s="41"/>
    </row>
    <row r="23" spans="1:13" ht="15.75" thickBot="1" x14ac:dyDescent="0.3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</row>
    <row r="24" spans="1:13" ht="15.75" thickBot="1" x14ac:dyDescent="0.3">
      <c r="A24" s="417" t="s">
        <v>75</v>
      </c>
      <c r="B24" s="418"/>
      <c r="C24" s="418"/>
      <c r="D24" s="418"/>
      <c r="E24" s="418"/>
      <c r="F24" s="418"/>
      <c r="G24" s="418"/>
      <c r="H24" s="418"/>
      <c r="I24" s="418"/>
      <c r="J24" s="288" t="e">
        <f>J22+J10</f>
        <v>#DIV/0!</v>
      </c>
      <c r="K24" s="127" t="s">
        <v>48</v>
      </c>
    </row>
    <row r="26" spans="1:13" x14ac:dyDescent="0.25">
      <c r="A26" s="468" t="s">
        <v>418</v>
      </c>
      <c r="B26" s="468"/>
      <c r="C26" s="468"/>
      <c r="D26" s="468"/>
      <c r="E26" s="468"/>
      <c r="F26" s="468"/>
      <c r="G26" s="468"/>
      <c r="H26" s="468"/>
      <c r="I26" s="468"/>
    </row>
    <row r="27" spans="1:13" x14ac:dyDescent="0.25">
      <c r="A27" s="468" t="s">
        <v>419</v>
      </c>
      <c r="B27" s="468"/>
      <c r="C27" s="468"/>
      <c r="D27" s="468"/>
      <c r="E27" s="468"/>
      <c r="F27" s="468"/>
      <c r="G27" s="468"/>
      <c r="H27" s="468"/>
      <c r="I27" s="468"/>
    </row>
  </sheetData>
  <mergeCells count="17">
    <mergeCell ref="A26:I26"/>
    <mergeCell ref="A27:I27"/>
    <mergeCell ref="A9:I9"/>
    <mergeCell ref="A24:I24"/>
    <mergeCell ref="A1:K1"/>
    <mergeCell ref="A3:K3"/>
    <mergeCell ref="A8:I8"/>
    <mergeCell ref="A22:I22"/>
    <mergeCell ref="A10:I10"/>
    <mergeCell ref="A12:K12"/>
    <mergeCell ref="B14:E14"/>
    <mergeCell ref="A20:I20"/>
    <mergeCell ref="A21:I21"/>
    <mergeCell ref="E4:F4"/>
    <mergeCell ref="E6:F6"/>
    <mergeCell ref="E7:F7"/>
    <mergeCell ref="B5:F5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0F5A7-A319-46DA-87CD-C9737D777365}">
  <sheetPr>
    <pageSetUpPr fitToPage="1"/>
  </sheetPr>
  <dimension ref="A1:O40"/>
  <sheetViews>
    <sheetView topLeftCell="A18" zoomScale="90" zoomScaleNormal="90" workbookViewId="0">
      <selection activeCell="E50" sqref="E50"/>
    </sheetView>
  </sheetViews>
  <sheetFormatPr defaultColWidth="9.140625" defaultRowHeight="15" x14ac:dyDescent="0.2"/>
  <cols>
    <col min="1" max="1" width="10.85546875" style="43" customWidth="1"/>
    <col min="2" max="2" width="35.85546875" style="43" customWidth="1"/>
    <col min="3" max="3" width="13.42578125" style="43" bestFit="1" customWidth="1"/>
    <col min="4" max="9" width="12.28515625" style="43" bestFit="1" customWidth="1"/>
    <col min="10" max="14" width="12.28515625" style="43" customWidth="1"/>
    <col min="15" max="15" width="12.28515625" style="43" bestFit="1" customWidth="1"/>
    <col min="16" max="16384" width="9.140625" style="43"/>
  </cols>
  <sheetData>
    <row r="1" spans="1:15" ht="16.5" thickBot="1" x14ac:dyDescent="0.3">
      <c r="A1" s="442" t="s">
        <v>415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4"/>
    </row>
    <row r="2" spans="1:15" x14ac:dyDescent="0.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5" x14ac:dyDescent="0.2">
      <c r="A3" s="470" t="s">
        <v>77</v>
      </c>
      <c r="B3" s="470" t="s">
        <v>78</v>
      </c>
      <c r="C3" s="481" t="s">
        <v>123</v>
      </c>
      <c r="D3" s="482"/>
      <c r="E3" s="482"/>
      <c r="F3" s="482"/>
      <c r="G3" s="482"/>
      <c r="H3" s="482"/>
      <c r="I3" s="482"/>
      <c r="J3" s="482"/>
      <c r="K3" s="482"/>
      <c r="L3" s="482"/>
      <c r="M3" s="482"/>
      <c r="N3" s="482"/>
      <c r="O3" s="483"/>
    </row>
    <row r="4" spans="1:15" x14ac:dyDescent="0.2">
      <c r="A4" s="471"/>
      <c r="B4" s="470"/>
      <c r="C4" s="368" t="s">
        <v>81</v>
      </c>
      <c r="D4" s="368" t="s">
        <v>82</v>
      </c>
      <c r="E4" s="368" t="s">
        <v>83</v>
      </c>
      <c r="F4" s="368" t="s">
        <v>84</v>
      </c>
      <c r="G4" s="368" t="s">
        <v>85</v>
      </c>
      <c r="H4" s="368" t="s">
        <v>86</v>
      </c>
      <c r="I4" s="383" t="s">
        <v>87</v>
      </c>
      <c r="J4" s="383" t="s">
        <v>109</v>
      </c>
      <c r="K4" s="383" t="s">
        <v>110</v>
      </c>
      <c r="L4" s="383" t="s">
        <v>111</v>
      </c>
      <c r="M4" s="383" t="s">
        <v>112</v>
      </c>
      <c r="N4" s="383" t="s">
        <v>113</v>
      </c>
      <c r="O4" s="368" t="s">
        <v>114</v>
      </c>
    </row>
    <row r="5" spans="1:15" x14ac:dyDescent="0.2">
      <c r="A5" s="484" t="s">
        <v>88</v>
      </c>
      <c r="B5" s="382" t="s">
        <v>89</v>
      </c>
      <c r="C5" s="393"/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81"/>
      <c r="O5" s="472" t="s">
        <v>124</v>
      </c>
    </row>
    <row r="6" spans="1:15" ht="15.75" x14ac:dyDescent="0.2">
      <c r="A6" s="485"/>
      <c r="B6" s="382" t="s">
        <v>125</v>
      </c>
      <c r="C6" s="384" t="s">
        <v>92</v>
      </c>
      <c r="E6" s="381"/>
      <c r="F6" s="381"/>
      <c r="G6" s="381"/>
      <c r="H6" s="381"/>
      <c r="I6" s="381"/>
      <c r="J6" s="381"/>
      <c r="K6" s="381"/>
      <c r="L6" s="381"/>
      <c r="M6" s="381"/>
      <c r="N6" s="381"/>
      <c r="O6" s="473"/>
    </row>
    <row r="7" spans="1:15" ht="15.75" x14ac:dyDescent="0.2">
      <c r="A7" s="484" t="s">
        <v>93</v>
      </c>
      <c r="B7" s="382" t="s">
        <v>126</v>
      </c>
      <c r="C7" s="381"/>
      <c r="D7" s="384" t="s">
        <v>96</v>
      </c>
      <c r="E7" s="381"/>
      <c r="G7" s="381"/>
      <c r="H7" s="381"/>
      <c r="I7" s="381"/>
      <c r="J7" s="381"/>
      <c r="K7" s="381"/>
      <c r="L7" s="381"/>
      <c r="M7" s="381"/>
      <c r="N7" s="381"/>
      <c r="O7" s="473"/>
    </row>
    <row r="8" spans="1:15" ht="15.75" x14ac:dyDescent="0.2">
      <c r="A8" s="486"/>
      <c r="B8" s="382" t="s">
        <v>127</v>
      </c>
      <c r="C8" s="381"/>
      <c r="D8" s="381"/>
      <c r="E8" s="384" t="s">
        <v>98</v>
      </c>
      <c r="F8" s="381"/>
      <c r="G8" s="381"/>
      <c r="H8" s="381"/>
      <c r="I8" s="381"/>
      <c r="K8" s="381"/>
      <c r="L8" s="381"/>
      <c r="M8" s="381"/>
      <c r="N8" s="381"/>
      <c r="O8" s="473"/>
    </row>
    <row r="9" spans="1:15" ht="15.6" customHeight="1" x14ac:dyDescent="0.2">
      <c r="A9" s="486"/>
      <c r="B9" s="382" t="s">
        <v>128</v>
      </c>
      <c r="C9" s="381"/>
      <c r="D9" s="381"/>
      <c r="E9" s="381"/>
      <c r="F9" s="384" t="s">
        <v>129</v>
      </c>
      <c r="G9" s="381"/>
      <c r="H9" s="381"/>
      <c r="I9" s="381"/>
      <c r="J9" s="381"/>
      <c r="L9" s="381"/>
      <c r="M9" s="381"/>
      <c r="N9" s="381"/>
      <c r="O9" s="473"/>
    </row>
    <row r="10" spans="1:15" ht="15.75" x14ac:dyDescent="0.2">
      <c r="A10" s="486"/>
      <c r="B10" s="382" t="s">
        <v>130</v>
      </c>
      <c r="C10" s="381"/>
      <c r="D10" s="381"/>
      <c r="E10" s="381"/>
      <c r="F10" s="381"/>
      <c r="G10" s="384" t="s">
        <v>131</v>
      </c>
      <c r="H10" s="381"/>
      <c r="I10" s="381"/>
      <c r="J10" s="381"/>
      <c r="K10" s="381"/>
      <c r="L10" s="381"/>
      <c r="M10" s="381"/>
      <c r="N10" s="381"/>
      <c r="O10" s="473"/>
    </row>
    <row r="11" spans="1:15" ht="15.75" x14ac:dyDescent="0.2">
      <c r="A11" s="486"/>
      <c r="B11" s="382" t="s">
        <v>132</v>
      </c>
      <c r="C11" s="381"/>
      <c r="D11" s="381"/>
      <c r="E11" s="381"/>
      <c r="F11" s="381"/>
      <c r="G11" s="381"/>
      <c r="H11" s="384" t="s">
        <v>133</v>
      </c>
      <c r="I11" s="381"/>
      <c r="J11" s="381"/>
      <c r="K11" s="381"/>
      <c r="L11" s="381"/>
      <c r="M11" s="381"/>
      <c r="N11" s="381"/>
      <c r="O11" s="473"/>
    </row>
    <row r="12" spans="1:15" ht="15.75" x14ac:dyDescent="0.2">
      <c r="A12" s="486"/>
      <c r="B12" s="382" t="s">
        <v>134</v>
      </c>
      <c r="C12" s="381"/>
      <c r="D12" s="381"/>
      <c r="E12" s="381"/>
      <c r="F12" s="381"/>
      <c r="G12" s="381"/>
      <c r="H12" s="381"/>
      <c r="I12" s="384" t="s">
        <v>135</v>
      </c>
      <c r="J12" s="381"/>
      <c r="K12" s="381"/>
      <c r="L12" s="381"/>
      <c r="M12" s="381"/>
      <c r="N12" s="381"/>
      <c r="O12" s="473"/>
    </row>
    <row r="13" spans="1:15" ht="15.75" x14ac:dyDescent="0.2">
      <c r="A13" s="486"/>
      <c r="B13" s="382" t="s">
        <v>136</v>
      </c>
      <c r="C13" s="381"/>
      <c r="D13" s="381"/>
      <c r="E13" s="381"/>
      <c r="F13" s="381"/>
      <c r="G13" s="381"/>
      <c r="H13" s="381"/>
      <c r="I13" s="381"/>
      <c r="J13" s="384" t="s">
        <v>137</v>
      </c>
      <c r="K13" s="381"/>
      <c r="L13" s="381"/>
      <c r="M13" s="381"/>
      <c r="N13" s="381"/>
      <c r="O13" s="473"/>
    </row>
    <row r="14" spans="1:15" ht="15.75" x14ac:dyDescent="0.2">
      <c r="A14" s="486"/>
      <c r="B14" s="382" t="s">
        <v>138</v>
      </c>
      <c r="C14" s="381"/>
      <c r="D14" s="381"/>
      <c r="E14" s="381"/>
      <c r="F14" s="381"/>
      <c r="G14" s="381"/>
      <c r="H14" s="381"/>
      <c r="I14" s="381"/>
      <c r="J14" s="381"/>
      <c r="K14" s="384" t="s">
        <v>139</v>
      </c>
      <c r="L14" s="381"/>
      <c r="M14" s="381"/>
      <c r="N14" s="381"/>
      <c r="O14" s="473"/>
    </row>
    <row r="15" spans="1:15" ht="15.75" x14ac:dyDescent="0.2">
      <c r="A15" s="486"/>
      <c r="B15" s="382" t="s">
        <v>140</v>
      </c>
      <c r="C15" s="381"/>
      <c r="D15" s="381"/>
      <c r="E15" s="381"/>
      <c r="F15" s="381"/>
      <c r="G15" s="381"/>
      <c r="H15" s="381"/>
      <c r="I15" s="381"/>
      <c r="J15" s="381"/>
      <c r="K15" s="381"/>
      <c r="L15" s="384" t="s">
        <v>141</v>
      </c>
      <c r="N15" s="381"/>
      <c r="O15" s="473"/>
    </row>
    <row r="16" spans="1:15" ht="15.75" x14ac:dyDescent="0.2">
      <c r="A16" s="486"/>
      <c r="B16" s="382" t="s">
        <v>142</v>
      </c>
      <c r="C16" s="381"/>
      <c r="D16" s="381"/>
      <c r="E16" s="381"/>
      <c r="F16" s="381"/>
      <c r="G16" s="381"/>
      <c r="H16" s="381"/>
      <c r="I16" s="381"/>
      <c r="J16" s="381"/>
      <c r="K16" s="381"/>
      <c r="L16" s="381"/>
      <c r="M16" s="384" t="s">
        <v>143</v>
      </c>
      <c r="N16" s="381"/>
      <c r="O16" s="473"/>
    </row>
    <row r="17" spans="1:15" ht="15.75" x14ac:dyDescent="0.2">
      <c r="A17" s="486"/>
      <c r="B17" s="382" t="s">
        <v>144</v>
      </c>
      <c r="C17" s="381"/>
      <c r="D17" s="381"/>
      <c r="E17" s="381"/>
      <c r="F17" s="381"/>
      <c r="G17" s="381"/>
      <c r="H17" s="381"/>
      <c r="I17" s="381"/>
      <c r="J17" s="381"/>
      <c r="K17" s="381"/>
      <c r="L17" s="381"/>
      <c r="M17" s="381"/>
      <c r="N17" s="384" t="s">
        <v>145</v>
      </c>
      <c r="O17" s="473"/>
    </row>
    <row r="18" spans="1:15" ht="15.75" x14ac:dyDescent="0.2">
      <c r="A18" s="485"/>
      <c r="B18" s="382" t="s">
        <v>146</v>
      </c>
      <c r="C18" s="381"/>
      <c r="D18" s="381"/>
      <c r="E18" s="381"/>
      <c r="F18" s="381"/>
      <c r="G18" s="381"/>
      <c r="H18" s="381"/>
      <c r="I18" s="381"/>
      <c r="J18" s="381"/>
      <c r="K18" s="381"/>
      <c r="L18" s="381"/>
      <c r="M18" s="381"/>
      <c r="N18" s="384" t="s">
        <v>147</v>
      </c>
      <c r="O18" s="473"/>
    </row>
    <row r="19" spans="1:15" x14ac:dyDescent="0.2">
      <c r="A19" s="477" t="s">
        <v>101</v>
      </c>
      <c r="B19" s="369" t="s">
        <v>102</v>
      </c>
      <c r="C19" s="370" t="e">
        <f>('COMPOSIÇÃO DE CUSTOS '!$J$10)/12</f>
        <v>#DIV/0!</v>
      </c>
      <c r="D19" s="370" t="e">
        <f>('COMPOSIÇÃO DE CUSTOS '!$J$10)/12</f>
        <v>#DIV/0!</v>
      </c>
      <c r="E19" s="370" t="e">
        <f>('COMPOSIÇÃO DE CUSTOS '!$J$10)/12</f>
        <v>#DIV/0!</v>
      </c>
      <c r="F19" s="370" t="e">
        <f>('COMPOSIÇÃO DE CUSTOS '!$J$10)/12</f>
        <v>#DIV/0!</v>
      </c>
      <c r="G19" s="370" t="e">
        <f>('COMPOSIÇÃO DE CUSTOS '!$J$10)/12</f>
        <v>#DIV/0!</v>
      </c>
      <c r="H19" s="370" t="e">
        <f>('COMPOSIÇÃO DE CUSTOS '!$J$10)/12</f>
        <v>#DIV/0!</v>
      </c>
      <c r="I19" s="370" t="e">
        <f>('COMPOSIÇÃO DE CUSTOS '!$J$10)/12</f>
        <v>#DIV/0!</v>
      </c>
      <c r="J19" s="370" t="e">
        <f>('COMPOSIÇÃO DE CUSTOS '!$J$10)/12</f>
        <v>#DIV/0!</v>
      </c>
      <c r="K19" s="370" t="e">
        <f>('COMPOSIÇÃO DE CUSTOS '!$J$10)/12</f>
        <v>#DIV/0!</v>
      </c>
      <c r="L19" s="370" t="e">
        <f>('COMPOSIÇÃO DE CUSTOS '!$J$10)/12</f>
        <v>#DIV/0!</v>
      </c>
      <c r="M19" s="370" t="e">
        <f>('COMPOSIÇÃO DE CUSTOS '!$J$10)/12</f>
        <v>#DIV/0!</v>
      </c>
      <c r="N19" s="370" t="e">
        <f>('COMPOSIÇÃO DE CUSTOS '!$J$10)/12</f>
        <v>#DIV/0!</v>
      </c>
      <c r="O19" s="474"/>
    </row>
    <row r="20" spans="1:15" x14ac:dyDescent="0.2">
      <c r="A20" s="478"/>
      <c r="B20" s="371" t="s">
        <v>103</v>
      </c>
      <c r="C20" s="372" t="e">
        <f>C19/$N$21</f>
        <v>#DIV/0!</v>
      </c>
      <c r="D20" s="372" t="e">
        <f t="shared" ref="D20:N20" si="0">D19/$N$21</f>
        <v>#DIV/0!</v>
      </c>
      <c r="E20" s="372" t="e">
        <f t="shared" si="0"/>
        <v>#DIV/0!</v>
      </c>
      <c r="F20" s="372" t="e">
        <f t="shared" si="0"/>
        <v>#DIV/0!</v>
      </c>
      <c r="G20" s="372" t="e">
        <f t="shared" si="0"/>
        <v>#DIV/0!</v>
      </c>
      <c r="H20" s="372" t="e">
        <f t="shared" si="0"/>
        <v>#DIV/0!</v>
      </c>
      <c r="I20" s="372" t="e">
        <f t="shared" si="0"/>
        <v>#DIV/0!</v>
      </c>
      <c r="J20" s="372" t="e">
        <f t="shared" si="0"/>
        <v>#DIV/0!</v>
      </c>
      <c r="K20" s="372" t="e">
        <f t="shared" si="0"/>
        <v>#DIV/0!</v>
      </c>
      <c r="L20" s="372" t="e">
        <f t="shared" si="0"/>
        <v>#DIV/0!</v>
      </c>
      <c r="M20" s="372" t="e">
        <f t="shared" si="0"/>
        <v>#DIV/0!</v>
      </c>
      <c r="N20" s="372" t="e">
        <f t="shared" si="0"/>
        <v>#DIV/0!</v>
      </c>
      <c r="O20" s="474"/>
    </row>
    <row r="21" spans="1:15" x14ac:dyDescent="0.2">
      <c r="A21" s="478"/>
      <c r="B21" s="369" t="s">
        <v>104</v>
      </c>
      <c r="C21" s="370" t="e">
        <f>C19</f>
        <v>#DIV/0!</v>
      </c>
      <c r="D21" s="370" t="e">
        <f t="shared" ref="D21:F22" si="1">D19+C21</f>
        <v>#DIV/0!</v>
      </c>
      <c r="E21" s="370" t="e">
        <f t="shared" ref="E21" si="2">E19+D21</f>
        <v>#DIV/0!</v>
      </c>
      <c r="F21" s="370" t="e">
        <f t="shared" ref="F21" si="3">F19+E21</f>
        <v>#DIV/0!</v>
      </c>
      <c r="G21" s="370" t="e">
        <f t="shared" ref="G21" si="4">G19+F21</f>
        <v>#DIV/0!</v>
      </c>
      <c r="H21" s="370" t="e">
        <f t="shared" ref="H21" si="5">H19+G21</f>
        <v>#DIV/0!</v>
      </c>
      <c r="I21" s="370" t="e">
        <f t="shared" ref="I21" si="6">I19+H21</f>
        <v>#DIV/0!</v>
      </c>
      <c r="J21" s="370" t="e">
        <f t="shared" ref="J21" si="7">J19+I21</f>
        <v>#DIV/0!</v>
      </c>
      <c r="K21" s="370" t="e">
        <f t="shared" ref="K21" si="8">K19+J21</f>
        <v>#DIV/0!</v>
      </c>
      <c r="L21" s="370" t="e">
        <f t="shared" ref="L21" si="9">L19+K21</f>
        <v>#DIV/0!</v>
      </c>
      <c r="M21" s="370" t="e">
        <f t="shared" ref="M21" si="10">M19+L21</f>
        <v>#DIV/0!</v>
      </c>
      <c r="N21" s="370" t="e">
        <f t="shared" ref="N21" si="11">N19+M21</f>
        <v>#DIV/0!</v>
      </c>
      <c r="O21" s="474"/>
    </row>
    <row r="22" spans="1:15" x14ac:dyDescent="0.2">
      <c r="A22" s="478"/>
      <c r="B22" s="371" t="s">
        <v>105</v>
      </c>
      <c r="C22" s="372" t="e">
        <f>C20</f>
        <v>#DIV/0!</v>
      </c>
      <c r="D22" s="372" t="e">
        <f>D20+C22</f>
        <v>#DIV/0!</v>
      </c>
      <c r="E22" s="372" t="e">
        <f t="shared" si="1"/>
        <v>#DIV/0!</v>
      </c>
      <c r="F22" s="372" t="e">
        <f t="shared" si="1"/>
        <v>#DIV/0!</v>
      </c>
      <c r="G22" s="372" t="e">
        <f t="shared" ref="G22:I22" si="12">G20+F22</f>
        <v>#DIV/0!</v>
      </c>
      <c r="H22" s="372" t="e">
        <f t="shared" si="12"/>
        <v>#DIV/0!</v>
      </c>
      <c r="I22" s="372" t="e">
        <f t="shared" si="12"/>
        <v>#DIV/0!</v>
      </c>
      <c r="J22" s="372" t="e">
        <f t="shared" ref="J22" si="13">J20+I22</f>
        <v>#DIV/0!</v>
      </c>
      <c r="K22" s="372" t="e">
        <f t="shared" ref="K22" si="14">K20+J22</f>
        <v>#DIV/0!</v>
      </c>
      <c r="L22" s="372" t="e">
        <f t="shared" ref="L22" si="15">L20+K22</f>
        <v>#DIV/0!</v>
      </c>
      <c r="M22" s="372" t="e">
        <f t="shared" ref="M22" si="16">M20+L22</f>
        <v>#DIV/0!</v>
      </c>
      <c r="N22" s="372" t="e">
        <f t="shared" ref="N22" si="17">N20+M22</f>
        <v>#DIV/0!</v>
      </c>
      <c r="O22" s="474"/>
    </row>
    <row r="23" spans="1:15" x14ac:dyDescent="0.2">
      <c r="A23" s="479" t="s">
        <v>106</v>
      </c>
      <c r="B23" s="373" t="s">
        <v>107</v>
      </c>
      <c r="C23" s="374">
        <f>'COMPOSIÇÃO DE CUSTOS '!$J$14/12</f>
        <v>0</v>
      </c>
      <c r="D23" s="374">
        <f>'COMPOSIÇÃO DE CUSTOS '!$J$14/12</f>
        <v>0</v>
      </c>
      <c r="E23" s="374">
        <f>'COMPOSIÇÃO DE CUSTOS '!$J$14/12</f>
        <v>0</v>
      </c>
      <c r="F23" s="374">
        <f>'COMPOSIÇÃO DE CUSTOS '!$J$14/12</f>
        <v>0</v>
      </c>
      <c r="G23" s="374">
        <f>'COMPOSIÇÃO DE CUSTOS '!$J$14/12</f>
        <v>0</v>
      </c>
      <c r="H23" s="374">
        <f>'COMPOSIÇÃO DE CUSTOS '!$J$14/12</f>
        <v>0</v>
      </c>
      <c r="I23" s="374">
        <f>'COMPOSIÇÃO DE CUSTOS '!$J$14/12</f>
        <v>0</v>
      </c>
      <c r="J23" s="374">
        <f>'COMPOSIÇÃO DE CUSTOS '!$J$14/12</f>
        <v>0</v>
      </c>
      <c r="K23" s="374">
        <f>'COMPOSIÇÃO DE CUSTOS '!$J$14/12</f>
        <v>0</v>
      </c>
      <c r="L23" s="374">
        <f>'COMPOSIÇÃO DE CUSTOS '!$J$14/12</f>
        <v>0</v>
      </c>
      <c r="M23" s="374">
        <f>'COMPOSIÇÃO DE CUSTOS '!$J$14/12</f>
        <v>0</v>
      </c>
      <c r="N23" s="374">
        <f>'COMPOSIÇÃO DE CUSTOS '!$J$14/12</f>
        <v>0</v>
      </c>
      <c r="O23" s="474"/>
    </row>
    <row r="24" spans="1:15" x14ac:dyDescent="0.2">
      <c r="A24" s="479"/>
      <c r="B24" s="375" t="s">
        <v>103</v>
      </c>
      <c r="C24" s="376" t="e">
        <f>C23/$N$25</f>
        <v>#DIV/0!</v>
      </c>
      <c r="D24" s="376" t="e">
        <f t="shared" ref="D24:N24" si="18">D23/$N$25</f>
        <v>#DIV/0!</v>
      </c>
      <c r="E24" s="376" t="e">
        <f t="shared" si="18"/>
        <v>#DIV/0!</v>
      </c>
      <c r="F24" s="376" t="e">
        <f t="shared" si="18"/>
        <v>#DIV/0!</v>
      </c>
      <c r="G24" s="376" t="e">
        <f t="shared" si="18"/>
        <v>#DIV/0!</v>
      </c>
      <c r="H24" s="376" t="e">
        <f t="shared" si="18"/>
        <v>#DIV/0!</v>
      </c>
      <c r="I24" s="376" t="e">
        <f t="shared" si="18"/>
        <v>#DIV/0!</v>
      </c>
      <c r="J24" s="376" t="e">
        <f t="shared" si="18"/>
        <v>#DIV/0!</v>
      </c>
      <c r="K24" s="376" t="e">
        <f t="shared" si="18"/>
        <v>#DIV/0!</v>
      </c>
      <c r="L24" s="376" t="e">
        <f t="shared" si="18"/>
        <v>#DIV/0!</v>
      </c>
      <c r="M24" s="376" t="e">
        <f t="shared" si="18"/>
        <v>#DIV/0!</v>
      </c>
      <c r="N24" s="376" t="e">
        <f t="shared" si="18"/>
        <v>#DIV/0!</v>
      </c>
      <c r="O24" s="474"/>
    </row>
    <row r="25" spans="1:15" x14ac:dyDescent="0.2">
      <c r="A25" s="479"/>
      <c r="B25" s="373" t="s">
        <v>104</v>
      </c>
      <c r="C25" s="374">
        <f>C23</f>
        <v>0</v>
      </c>
      <c r="D25" s="374">
        <f t="shared" ref="D25:F26" si="19">D23+C25</f>
        <v>0</v>
      </c>
      <c r="E25" s="374">
        <f t="shared" si="19"/>
        <v>0</v>
      </c>
      <c r="F25" s="374">
        <f t="shared" si="19"/>
        <v>0</v>
      </c>
      <c r="G25" s="374">
        <f t="shared" ref="G25:I26" si="20">G23+F25</f>
        <v>0</v>
      </c>
      <c r="H25" s="374">
        <f t="shared" si="20"/>
        <v>0</v>
      </c>
      <c r="I25" s="374">
        <f t="shared" si="20"/>
        <v>0</v>
      </c>
      <c r="J25" s="374">
        <f t="shared" ref="J25:J26" si="21">J23+I25</f>
        <v>0</v>
      </c>
      <c r="K25" s="374">
        <f t="shared" ref="K25:K26" si="22">K23+J25</f>
        <v>0</v>
      </c>
      <c r="L25" s="374">
        <f t="shared" ref="L25:L26" si="23">L23+K25</f>
        <v>0</v>
      </c>
      <c r="M25" s="374">
        <f t="shared" ref="M25:M26" si="24">M23+L25</f>
        <v>0</v>
      </c>
      <c r="N25" s="374">
        <f t="shared" ref="N25:N26" si="25">N23+M25</f>
        <v>0</v>
      </c>
      <c r="O25" s="474"/>
    </row>
    <row r="26" spans="1:15" x14ac:dyDescent="0.2">
      <c r="A26" s="479"/>
      <c r="B26" s="375" t="s">
        <v>105</v>
      </c>
      <c r="C26" s="376" t="e">
        <f>C24</f>
        <v>#DIV/0!</v>
      </c>
      <c r="D26" s="376" t="e">
        <f t="shared" si="19"/>
        <v>#DIV/0!</v>
      </c>
      <c r="E26" s="376" t="e">
        <f t="shared" ref="E26" si="26">E24+D26</f>
        <v>#DIV/0!</v>
      </c>
      <c r="F26" s="376" t="e">
        <f t="shared" ref="F26" si="27">F24+E26</f>
        <v>#DIV/0!</v>
      </c>
      <c r="G26" s="376" t="e">
        <f t="shared" si="20"/>
        <v>#DIV/0!</v>
      </c>
      <c r="H26" s="376" t="e">
        <f t="shared" si="20"/>
        <v>#DIV/0!</v>
      </c>
      <c r="I26" s="376" t="e">
        <f t="shared" si="20"/>
        <v>#DIV/0!</v>
      </c>
      <c r="J26" s="376" t="e">
        <f t="shared" si="21"/>
        <v>#DIV/0!</v>
      </c>
      <c r="K26" s="376" t="e">
        <f t="shared" si="22"/>
        <v>#DIV/0!</v>
      </c>
      <c r="L26" s="376" t="e">
        <f t="shared" si="23"/>
        <v>#DIV/0!</v>
      </c>
      <c r="M26" s="376" t="e">
        <f t="shared" si="24"/>
        <v>#DIV/0!</v>
      </c>
      <c r="N26" s="376" t="e">
        <f t="shared" si="25"/>
        <v>#DIV/0!</v>
      </c>
      <c r="O26" s="474"/>
    </row>
    <row r="27" spans="1:15" x14ac:dyDescent="0.2">
      <c r="A27" s="480" t="s">
        <v>108</v>
      </c>
      <c r="B27" s="377" t="s">
        <v>102</v>
      </c>
      <c r="C27" s="378" t="e">
        <f>C19+C23</f>
        <v>#DIV/0!</v>
      </c>
      <c r="D27" s="378" t="e">
        <f t="shared" ref="D27:N27" si="28">D19+D23</f>
        <v>#DIV/0!</v>
      </c>
      <c r="E27" s="378" t="e">
        <f t="shared" si="28"/>
        <v>#DIV/0!</v>
      </c>
      <c r="F27" s="378" t="e">
        <f t="shared" si="28"/>
        <v>#DIV/0!</v>
      </c>
      <c r="G27" s="378" t="e">
        <f t="shared" si="28"/>
        <v>#DIV/0!</v>
      </c>
      <c r="H27" s="378" t="e">
        <f t="shared" si="28"/>
        <v>#DIV/0!</v>
      </c>
      <c r="I27" s="378" t="e">
        <f t="shared" si="28"/>
        <v>#DIV/0!</v>
      </c>
      <c r="J27" s="378" t="e">
        <f t="shared" si="28"/>
        <v>#DIV/0!</v>
      </c>
      <c r="K27" s="378" t="e">
        <f t="shared" si="28"/>
        <v>#DIV/0!</v>
      </c>
      <c r="L27" s="378" t="e">
        <f t="shared" si="28"/>
        <v>#DIV/0!</v>
      </c>
      <c r="M27" s="378" t="e">
        <f t="shared" si="28"/>
        <v>#DIV/0!</v>
      </c>
      <c r="N27" s="378" t="e">
        <f t="shared" si="28"/>
        <v>#DIV/0!</v>
      </c>
      <c r="O27" s="474"/>
    </row>
    <row r="28" spans="1:15" x14ac:dyDescent="0.2">
      <c r="A28" s="480"/>
      <c r="B28" s="379" t="s">
        <v>103</v>
      </c>
      <c r="C28" s="380" t="e">
        <f>C27/$N$29</f>
        <v>#DIV/0!</v>
      </c>
      <c r="D28" s="380" t="e">
        <f t="shared" ref="D28:N28" si="29">D27/$N$29</f>
        <v>#DIV/0!</v>
      </c>
      <c r="E28" s="380" t="e">
        <f t="shared" si="29"/>
        <v>#DIV/0!</v>
      </c>
      <c r="F28" s="380" t="e">
        <f t="shared" si="29"/>
        <v>#DIV/0!</v>
      </c>
      <c r="G28" s="380" t="e">
        <f t="shared" si="29"/>
        <v>#DIV/0!</v>
      </c>
      <c r="H28" s="380" t="e">
        <f t="shared" si="29"/>
        <v>#DIV/0!</v>
      </c>
      <c r="I28" s="380" t="e">
        <f t="shared" si="29"/>
        <v>#DIV/0!</v>
      </c>
      <c r="J28" s="380" t="e">
        <f t="shared" si="29"/>
        <v>#DIV/0!</v>
      </c>
      <c r="K28" s="380" t="e">
        <f t="shared" si="29"/>
        <v>#DIV/0!</v>
      </c>
      <c r="L28" s="380" t="e">
        <f t="shared" si="29"/>
        <v>#DIV/0!</v>
      </c>
      <c r="M28" s="380" t="e">
        <f t="shared" si="29"/>
        <v>#DIV/0!</v>
      </c>
      <c r="N28" s="380" t="e">
        <f t="shared" si="29"/>
        <v>#DIV/0!</v>
      </c>
      <c r="O28" s="474"/>
    </row>
    <row r="29" spans="1:15" x14ac:dyDescent="0.2">
      <c r="A29" s="480"/>
      <c r="B29" s="377" t="s">
        <v>104</v>
      </c>
      <c r="C29" s="378" t="e">
        <f>C27</f>
        <v>#DIV/0!</v>
      </c>
      <c r="D29" s="378" t="e">
        <f t="shared" ref="D29:D30" si="30">D27+C29</f>
        <v>#DIV/0!</v>
      </c>
      <c r="E29" s="378" t="e">
        <f t="shared" ref="E29:E30" si="31">E27+D29</f>
        <v>#DIV/0!</v>
      </c>
      <c r="F29" s="378" t="e">
        <f t="shared" ref="F29:F30" si="32">F27+E29</f>
        <v>#DIV/0!</v>
      </c>
      <c r="G29" s="378" t="e">
        <f t="shared" ref="G29:G30" si="33">G27+F29</f>
        <v>#DIV/0!</v>
      </c>
      <c r="H29" s="378" t="e">
        <f t="shared" ref="H29:H30" si="34">H27+G29</f>
        <v>#DIV/0!</v>
      </c>
      <c r="I29" s="378" t="e">
        <f t="shared" ref="I29:I30" si="35">I27+H29</f>
        <v>#DIV/0!</v>
      </c>
      <c r="J29" s="378" t="e">
        <f t="shared" ref="J29:J30" si="36">J27+I29</f>
        <v>#DIV/0!</v>
      </c>
      <c r="K29" s="378" t="e">
        <f t="shared" ref="K29:K30" si="37">K27+J29</f>
        <v>#DIV/0!</v>
      </c>
      <c r="L29" s="378" t="e">
        <f t="shared" ref="L29:L30" si="38">L27+K29</f>
        <v>#DIV/0!</v>
      </c>
      <c r="M29" s="378" t="e">
        <f t="shared" ref="M29:M30" si="39">M27+L29</f>
        <v>#DIV/0!</v>
      </c>
      <c r="N29" s="378" t="e">
        <f t="shared" ref="N29:N30" si="40">N27+M29</f>
        <v>#DIV/0!</v>
      </c>
      <c r="O29" s="474"/>
    </row>
    <row r="30" spans="1:15" x14ac:dyDescent="0.2">
      <c r="A30" s="480"/>
      <c r="B30" s="379" t="s">
        <v>105</v>
      </c>
      <c r="C30" s="380" t="e">
        <f>C28</f>
        <v>#DIV/0!</v>
      </c>
      <c r="D30" s="380" t="e">
        <f t="shared" si="30"/>
        <v>#DIV/0!</v>
      </c>
      <c r="E30" s="380" t="e">
        <f t="shared" si="31"/>
        <v>#DIV/0!</v>
      </c>
      <c r="F30" s="380" t="e">
        <f t="shared" si="32"/>
        <v>#DIV/0!</v>
      </c>
      <c r="G30" s="380" t="e">
        <f t="shared" si="33"/>
        <v>#DIV/0!</v>
      </c>
      <c r="H30" s="380" t="e">
        <f t="shared" si="34"/>
        <v>#DIV/0!</v>
      </c>
      <c r="I30" s="380" t="e">
        <f t="shared" si="35"/>
        <v>#DIV/0!</v>
      </c>
      <c r="J30" s="380" t="e">
        <f t="shared" si="36"/>
        <v>#DIV/0!</v>
      </c>
      <c r="K30" s="380" t="e">
        <f t="shared" si="37"/>
        <v>#DIV/0!</v>
      </c>
      <c r="L30" s="380" t="e">
        <f t="shared" si="38"/>
        <v>#DIV/0!</v>
      </c>
      <c r="M30" s="380" t="e">
        <f t="shared" si="39"/>
        <v>#DIV/0!</v>
      </c>
      <c r="N30" s="380" t="e">
        <f t="shared" si="40"/>
        <v>#DIV/0!</v>
      </c>
      <c r="O30" s="475"/>
    </row>
    <row r="31" spans="1:15" x14ac:dyDescent="0.2">
      <c r="A31" s="111"/>
      <c r="B31" s="112"/>
      <c r="C31" s="113"/>
      <c r="D31" s="113"/>
      <c r="E31" s="114"/>
      <c r="F31" s="113"/>
      <c r="G31" s="113"/>
      <c r="H31" s="113"/>
      <c r="I31" s="113"/>
      <c r="J31" s="113"/>
      <c r="K31" s="113"/>
      <c r="L31" s="113"/>
      <c r="M31" s="113"/>
      <c r="N31" s="113"/>
      <c r="O31" s="113"/>
    </row>
    <row r="32" spans="1:15" ht="23.25" customHeight="1" x14ac:dyDescent="0.2">
      <c r="A32" s="476" t="s">
        <v>118</v>
      </c>
      <c r="B32" s="476"/>
      <c r="C32" s="476"/>
      <c r="D32" s="476"/>
      <c r="E32" s="476"/>
      <c r="F32" s="476"/>
      <c r="G32" s="476"/>
      <c r="H32" s="476"/>
      <c r="I32" s="476"/>
      <c r="J32" s="476"/>
      <c r="K32" s="476"/>
      <c r="L32" s="476"/>
      <c r="M32" s="476"/>
      <c r="N32" s="476"/>
      <c r="O32" s="476"/>
    </row>
    <row r="33" spans="1:15" ht="24" customHeight="1" x14ac:dyDescent="0.2">
      <c r="A33" s="469" t="s">
        <v>411</v>
      </c>
      <c r="B33" s="469"/>
      <c r="C33" s="469"/>
      <c r="D33" s="469"/>
      <c r="E33" s="469"/>
      <c r="F33" s="469"/>
      <c r="G33" s="469"/>
      <c r="H33" s="469"/>
      <c r="I33" s="469"/>
      <c r="J33" s="469"/>
      <c r="K33" s="469"/>
      <c r="L33" s="469"/>
      <c r="M33" s="469"/>
      <c r="N33" s="469"/>
      <c r="O33" s="469"/>
    </row>
    <row r="34" spans="1:15" x14ac:dyDescent="0.2">
      <c r="A34" s="111"/>
      <c r="B34" s="112"/>
      <c r="C34" s="113"/>
      <c r="D34" s="113"/>
      <c r="E34" s="114"/>
      <c r="F34" s="113"/>
      <c r="G34" s="113"/>
      <c r="H34" s="113"/>
      <c r="I34" s="113"/>
      <c r="J34" s="113"/>
      <c r="K34" s="113"/>
      <c r="L34" s="113"/>
      <c r="M34" s="113"/>
      <c r="N34" s="113"/>
      <c r="O34" s="113"/>
    </row>
    <row r="35" spans="1:15" x14ac:dyDescent="0.2">
      <c r="A35" s="111"/>
      <c r="B35" s="112"/>
      <c r="C35" s="113"/>
      <c r="D35" s="113"/>
      <c r="E35" s="114"/>
      <c r="F35" s="113"/>
      <c r="G35" s="113"/>
      <c r="H35" s="113"/>
      <c r="I35" s="113"/>
      <c r="J35" s="113"/>
      <c r="K35" s="113"/>
      <c r="L35" s="113"/>
      <c r="M35" s="113"/>
      <c r="N35" s="113"/>
      <c r="O35" s="113"/>
    </row>
    <row r="36" spans="1:15" x14ac:dyDescent="0.2">
      <c r="A36" s="111"/>
      <c r="B36" s="112"/>
      <c r="C36" s="113"/>
      <c r="D36" s="113"/>
      <c r="E36" s="114"/>
      <c r="F36" s="113"/>
      <c r="G36" s="113"/>
      <c r="H36" s="113"/>
      <c r="I36" s="113"/>
      <c r="J36" s="113"/>
      <c r="K36" s="113"/>
      <c r="L36" s="113"/>
      <c r="M36" s="113"/>
      <c r="N36" s="113"/>
      <c r="O36" s="113"/>
    </row>
    <row r="37" spans="1:15" x14ac:dyDescent="0.2">
      <c r="A37" s="111"/>
      <c r="B37" s="112"/>
      <c r="C37" s="113"/>
      <c r="D37" s="113"/>
      <c r="E37" s="114"/>
      <c r="F37" s="113"/>
      <c r="G37" s="113"/>
      <c r="H37" s="113"/>
      <c r="I37" s="113"/>
      <c r="J37" s="113"/>
      <c r="K37" s="113"/>
      <c r="L37" s="113"/>
      <c r="M37" s="113"/>
      <c r="N37" s="113"/>
      <c r="O37" s="113"/>
    </row>
    <row r="39" spans="1:15" x14ac:dyDescent="0.2">
      <c r="A39" s="112"/>
      <c r="B39" s="116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</row>
    <row r="40" spans="1:15" x14ac:dyDescent="0.2">
      <c r="A40" s="115"/>
      <c r="B40" s="115"/>
      <c r="C40" s="115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</row>
  </sheetData>
  <mergeCells count="12">
    <mergeCell ref="A33:O33"/>
    <mergeCell ref="A1:O1"/>
    <mergeCell ref="A3:A4"/>
    <mergeCell ref="B3:B4"/>
    <mergeCell ref="O5:O30"/>
    <mergeCell ref="A32:O32"/>
    <mergeCell ref="A19:A22"/>
    <mergeCell ref="A23:A26"/>
    <mergeCell ref="A27:A30"/>
    <mergeCell ref="C3:O3"/>
    <mergeCell ref="A5:A6"/>
    <mergeCell ref="A7:A18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8" scale="96" orientation="landscape" horizontalDpi="1200" verticalDpi="1200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42863-4075-4AB8-B245-34E57671C05A}">
  <dimension ref="A1:Q64"/>
  <sheetViews>
    <sheetView topLeftCell="A54" zoomScale="150" zoomScaleNormal="150" workbookViewId="0">
      <selection activeCell="R53" sqref="R53"/>
    </sheetView>
  </sheetViews>
  <sheetFormatPr defaultColWidth="9.140625" defaultRowHeight="15" x14ac:dyDescent="0.25"/>
  <cols>
    <col min="1" max="1" width="5" style="41" bestFit="1" customWidth="1"/>
    <col min="2" max="2" width="39.7109375" style="131" customWidth="1"/>
    <col min="3" max="3" width="2.140625" style="41" customWidth="1"/>
    <col min="4" max="4" width="6.28515625" style="41" bestFit="1" customWidth="1"/>
    <col min="5" max="5" width="9.42578125" style="41" bestFit="1" customWidth="1"/>
    <col min="6" max="6" width="2.140625" style="41" customWidth="1"/>
    <col min="7" max="7" width="6.28515625" style="41" bestFit="1" customWidth="1"/>
    <col min="8" max="8" width="9.85546875" style="41" bestFit="1" customWidth="1"/>
    <col min="9" max="9" width="6.42578125" style="41" hidden="1" customWidth="1"/>
    <col min="10" max="10" width="9.42578125" style="41" hidden="1" customWidth="1"/>
    <col min="11" max="11" width="6.42578125" style="41" hidden="1" customWidth="1"/>
    <col min="12" max="12" width="11.28515625" style="41" hidden="1" customWidth="1"/>
    <col min="13" max="13" width="6.42578125" style="41" hidden="1" customWidth="1"/>
    <col min="14" max="14" width="9.42578125" style="41" hidden="1" customWidth="1"/>
    <col min="15" max="16384" width="9.140625" style="41"/>
  </cols>
  <sheetData>
    <row r="1" spans="1:14" ht="15.75" x14ac:dyDescent="0.25">
      <c r="A1" s="526" t="s">
        <v>1</v>
      </c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  <c r="N1" s="526"/>
    </row>
    <row r="2" spans="1:14" x14ac:dyDescent="0.25">
      <c r="A2" s="316"/>
      <c r="B2" s="317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</row>
    <row r="3" spans="1:14" s="120" customFormat="1" ht="13.35" customHeight="1" x14ac:dyDescent="0.25">
      <c r="A3" s="513" t="s">
        <v>148</v>
      </c>
      <c r="B3" s="514"/>
      <c r="C3" s="140"/>
      <c r="D3" s="515" t="s">
        <v>15</v>
      </c>
      <c r="E3" s="516"/>
      <c r="F3" s="140"/>
      <c r="G3" s="515" t="s">
        <v>18</v>
      </c>
      <c r="H3" s="516"/>
      <c r="I3" s="515" t="s">
        <v>26</v>
      </c>
      <c r="J3" s="516"/>
      <c r="K3" s="515" t="s">
        <v>149</v>
      </c>
      <c r="L3" s="516"/>
      <c r="M3" s="515" t="s">
        <v>28</v>
      </c>
      <c r="N3" s="516"/>
    </row>
    <row r="4" spans="1:14" s="120" customFormat="1" ht="12.75" x14ac:dyDescent="0.25">
      <c r="A4" s="507" t="s">
        <v>150</v>
      </c>
      <c r="B4" s="508"/>
      <c r="C4" s="140"/>
      <c r="D4" s="517" t="s">
        <v>16</v>
      </c>
      <c r="E4" s="518"/>
      <c r="F4" s="140"/>
      <c r="G4" s="517" t="s">
        <v>120</v>
      </c>
      <c r="H4" s="518"/>
      <c r="I4" s="517" t="s">
        <v>27</v>
      </c>
      <c r="J4" s="518"/>
      <c r="K4" s="517" t="s">
        <v>29</v>
      </c>
      <c r="L4" s="518"/>
      <c r="M4" s="517" t="s">
        <v>31</v>
      </c>
      <c r="N4" s="518"/>
    </row>
    <row r="5" spans="1:14" s="120" customFormat="1" ht="12.75" x14ac:dyDescent="0.25">
      <c r="A5" s="507" t="s">
        <v>151</v>
      </c>
      <c r="B5" s="508"/>
      <c r="C5" s="140"/>
      <c r="D5" s="521"/>
      <c r="E5" s="520"/>
      <c r="F5" s="140"/>
      <c r="G5" s="519"/>
      <c r="H5" s="520"/>
      <c r="I5" s="517" t="s">
        <v>152</v>
      </c>
      <c r="J5" s="518"/>
      <c r="K5" s="517" t="s">
        <v>153</v>
      </c>
      <c r="L5" s="518"/>
      <c r="M5" s="517" t="s">
        <v>154</v>
      </c>
      <c r="N5" s="518"/>
    </row>
    <row r="6" spans="1:14" s="120" customFormat="1" ht="12.75" x14ac:dyDescent="0.25">
      <c r="A6" s="509" t="s">
        <v>155</v>
      </c>
      <c r="B6" s="510"/>
      <c r="C6" s="140"/>
      <c r="D6" s="519"/>
      <c r="E6" s="520"/>
      <c r="F6" s="140"/>
      <c r="G6" s="519"/>
      <c r="H6" s="520"/>
      <c r="I6" s="517" t="s">
        <v>119</v>
      </c>
      <c r="J6" s="518"/>
      <c r="K6" s="517" t="s">
        <v>119</v>
      </c>
      <c r="L6" s="518"/>
      <c r="M6" s="517" t="s">
        <v>119</v>
      </c>
      <c r="N6" s="518"/>
    </row>
    <row r="7" spans="1:14" s="120" customFormat="1" ht="13.35" customHeight="1" x14ac:dyDescent="0.25">
      <c r="A7" s="509" t="s">
        <v>156</v>
      </c>
      <c r="B7" s="510"/>
      <c r="C7" s="140"/>
      <c r="D7" s="522"/>
      <c r="E7" s="523"/>
      <c r="F7" s="140"/>
      <c r="G7" s="522"/>
      <c r="H7" s="523"/>
      <c r="I7" s="529">
        <v>45658</v>
      </c>
      <c r="J7" s="530"/>
      <c r="K7" s="529">
        <v>45658</v>
      </c>
      <c r="L7" s="530"/>
      <c r="M7" s="529">
        <v>45658</v>
      </c>
      <c r="N7" s="530"/>
    </row>
    <row r="8" spans="1:14" s="120" customFormat="1" ht="12.75" x14ac:dyDescent="0.25">
      <c r="A8" s="511" t="s">
        <v>157</v>
      </c>
      <c r="B8" s="512"/>
      <c r="C8" s="140"/>
      <c r="D8" s="487"/>
      <c r="E8" s="488"/>
      <c r="F8" s="140"/>
      <c r="G8" s="487"/>
      <c r="H8" s="488"/>
      <c r="I8" s="524">
        <v>2427.21</v>
      </c>
      <c r="J8" s="525"/>
      <c r="K8" s="524">
        <f>9.5288*220</f>
        <v>2096.3360000000002</v>
      </c>
      <c r="L8" s="525"/>
      <c r="M8" s="524">
        <f>7.9666*220</f>
        <v>1752.652</v>
      </c>
      <c r="N8" s="525"/>
    </row>
    <row r="9" spans="1:14" x14ac:dyDescent="0.25">
      <c r="A9" s="316"/>
      <c r="B9" s="317"/>
      <c r="C9" s="316"/>
      <c r="D9" s="316"/>
      <c r="E9" s="316"/>
      <c r="F9" s="316"/>
      <c r="G9" s="316"/>
      <c r="H9" s="316"/>
      <c r="I9" s="316"/>
      <c r="J9" s="316"/>
      <c r="K9" s="316"/>
      <c r="L9" s="316"/>
      <c r="M9" s="316"/>
      <c r="N9" s="316"/>
    </row>
    <row r="10" spans="1:14" s="140" customFormat="1" ht="15.75" customHeight="1" x14ac:dyDescent="0.25">
      <c r="A10" s="495" t="s">
        <v>158</v>
      </c>
      <c r="B10" s="496"/>
      <c r="C10" s="319"/>
      <c r="D10" s="320"/>
      <c r="E10" s="321"/>
      <c r="F10" s="319"/>
      <c r="G10" s="320"/>
      <c r="H10" s="321"/>
      <c r="I10" s="320"/>
      <c r="J10" s="321"/>
      <c r="K10" s="320"/>
      <c r="L10" s="321"/>
      <c r="M10" s="320"/>
      <c r="N10" s="321"/>
    </row>
    <row r="11" spans="1:14" s="140" customFormat="1" ht="12" x14ac:dyDescent="0.25">
      <c r="A11" s="322">
        <v>5</v>
      </c>
      <c r="B11" s="323" t="s">
        <v>159</v>
      </c>
      <c r="C11" s="324"/>
      <c r="D11" s="322" t="s">
        <v>160</v>
      </c>
      <c r="E11" s="325" t="s">
        <v>161</v>
      </c>
      <c r="F11" s="324"/>
      <c r="G11" s="322" t="s">
        <v>160</v>
      </c>
      <c r="H11" s="325" t="s">
        <v>161</v>
      </c>
      <c r="I11" s="322" t="s">
        <v>160</v>
      </c>
      <c r="J11" s="325" t="s">
        <v>161</v>
      </c>
      <c r="K11" s="322" t="s">
        <v>160</v>
      </c>
      <c r="L11" s="325" t="s">
        <v>161</v>
      </c>
      <c r="M11" s="322" t="s">
        <v>160</v>
      </c>
      <c r="N11" s="325" t="s">
        <v>161</v>
      </c>
    </row>
    <row r="12" spans="1:14" s="140" customFormat="1" ht="18" x14ac:dyDescent="0.25">
      <c r="A12" s="326" t="s">
        <v>162</v>
      </c>
      <c r="B12" s="327" t="s">
        <v>163</v>
      </c>
      <c r="C12" s="328"/>
      <c r="D12" s="329">
        <f>SUM(D13:D21)</f>
        <v>0</v>
      </c>
      <c r="E12" s="330">
        <f t="shared" ref="E12" si="0">SUM(E13:E21)</f>
        <v>0</v>
      </c>
      <c r="F12" s="328"/>
      <c r="G12" s="329">
        <f>SUM(G13:G21)</f>
        <v>0</v>
      </c>
      <c r="H12" s="330">
        <f t="shared" ref="H12:N12" si="1">SUM(H13:H21)</f>
        <v>0</v>
      </c>
      <c r="I12" s="329">
        <f>SUM(I13:I21)</f>
        <v>0</v>
      </c>
      <c r="J12" s="330">
        <f t="shared" si="1"/>
        <v>0</v>
      </c>
      <c r="K12" s="329">
        <f>SUM(K13:K21)</f>
        <v>0</v>
      </c>
      <c r="L12" s="330">
        <f t="shared" si="1"/>
        <v>0</v>
      </c>
      <c r="M12" s="329">
        <f>SUM(M13:M21)</f>
        <v>0</v>
      </c>
      <c r="N12" s="330">
        <f t="shared" si="1"/>
        <v>0</v>
      </c>
    </row>
    <row r="13" spans="1:14" s="140" customFormat="1" ht="12" x14ac:dyDescent="0.25">
      <c r="A13" s="331" t="s">
        <v>164</v>
      </c>
      <c r="B13" s="332" t="s">
        <v>165</v>
      </c>
      <c r="C13" s="333"/>
      <c r="D13" s="334">
        <f>'ENCARGOS SOCIAIS'!C5</f>
        <v>0</v>
      </c>
      <c r="E13" s="335">
        <f>ROUND((D13*$D$8),2)</f>
        <v>0</v>
      </c>
      <c r="F13" s="333"/>
      <c r="G13" s="334">
        <f>'ENCARGOS SOCIAIS'!$C$5</f>
        <v>0</v>
      </c>
      <c r="H13" s="335">
        <f t="shared" ref="H13:H21" si="2">ROUND((G13*$G$8),2)</f>
        <v>0</v>
      </c>
      <c r="I13" s="334">
        <f>'ENCARGOS SOCIAIS'!$C$5</f>
        <v>0</v>
      </c>
      <c r="J13" s="335">
        <f>ROUND((I13*$I$8),2)</f>
        <v>0</v>
      </c>
      <c r="K13" s="334">
        <f>'ENCARGOS SOCIAIS'!$C$5</f>
        <v>0</v>
      </c>
      <c r="L13" s="335">
        <f>ROUND((K13*$K$8),2)</f>
        <v>0</v>
      </c>
      <c r="M13" s="334">
        <f>'ENCARGOS SOCIAIS'!$C$5</f>
        <v>0</v>
      </c>
      <c r="N13" s="335">
        <f>ROUND((M13*$M$8),2)</f>
        <v>0</v>
      </c>
    </row>
    <row r="14" spans="1:14" s="140" customFormat="1" ht="12" x14ac:dyDescent="0.25">
      <c r="A14" s="331" t="s">
        <v>166</v>
      </c>
      <c r="B14" s="332" t="s">
        <v>167</v>
      </c>
      <c r="C14" s="333"/>
      <c r="D14" s="334">
        <f>'ENCARGOS SOCIAIS'!C6</f>
        <v>0</v>
      </c>
      <c r="E14" s="335">
        <f t="shared" ref="E14:E21" si="3">ROUND((D14*$D$8),2)</f>
        <v>0</v>
      </c>
      <c r="F14" s="333"/>
      <c r="G14" s="334">
        <f>'ENCARGOS SOCIAIS'!$C$6</f>
        <v>0</v>
      </c>
      <c r="H14" s="335">
        <f t="shared" si="2"/>
        <v>0</v>
      </c>
      <c r="I14" s="334">
        <f>'ENCARGOS SOCIAIS'!$C$6</f>
        <v>0</v>
      </c>
      <c r="J14" s="335">
        <f t="shared" ref="J14:J21" si="4">ROUND((I14*$I$8),2)</f>
        <v>0</v>
      </c>
      <c r="K14" s="334">
        <f>'ENCARGOS SOCIAIS'!$C$6</f>
        <v>0</v>
      </c>
      <c r="L14" s="335">
        <f t="shared" ref="L14:L21" si="5">ROUND((K14*$K$8),2)</f>
        <v>0</v>
      </c>
      <c r="M14" s="334">
        <f>'ENCARGOS SOCIAIS'!$C$6</f>
        <v>0</v>
      </c>
      <c r="N14" s="335">
        <f t="shared" ref="N14:N21" si="6">ROUND((M14*$M$8),2)</f>
        <v>0</v>
      </c>
    </row>
    <row r="15" spans="1:14" s="140" customFormat="1" ht="12" x14ac:dyDescent="0.25">
      <c r="A15" s="331" t="s">
        <v>168</v>
      </c>
      <c r="B15" s="332" t="s">
        <v>169</v>
      </c>
      <c r="C15" s="333"/>
      <c r="D15" s="334">
        <f>'ENCARGOS SOCIAIS'!C7</f>
        <v>0</v>
      </c>
      <c r="E15" s="335">
        <f t="shared" si="3"/>
        <v>0</v>
      </c>
      <c r="F15" s="333"/>
      <c r="G15" s="334">
        <f>'ENCARGOS SOCIAIS'!$C$7</f>
        <v>0</v>
      </c>
      <c r="H15" s="335">
        <f t="shared" si="2"/>
        <v>0</v>
      </c>
      <c r="I15" s="334">
        <f>'ENCARGOS SOCIAIS'!$C$7</f>
        <v>0</v>
      </c>
      <c r="J15" s="335">
        <f t="shared" si="4"/>
        <v>0</v>
      </c>
      <c r="K15" s="334">
        <f>'ENCARGOS SOCIAIS'!$C$7</f>
        <v>0</v>
      </c>
      <c r="L15" s="335">
        <f t="shared" si="5"/>
        <v>0</v>
      </c>
      <c r="M15" s="334">
        <f>'ENCARGOS SOCIAIS'!$C$7</f>
        <v>0</v>
      </c>
      <c r="N15" s="335">
        <f t="shared" si="6"/>
        <v>0</v>
      </c>
    </row>
    <row r="16" spans="1:14" s="140" customFormat="1" ht="12" x14ac:dyDescent="0.25">
      <c r="A16" s="331" t="s">
        <v>170</v>
      </c>
      <c r="B16" s="332" t="s">
        <v>171</v>
      </c>
      <c r="C16" s="333"/>
      <c r="D16" s="334">
        <f>'ENCARGOS SOCIAIS'!C8</f>
        <v>0</v>
      </c>
      <c r="E16" s="335">
        <f t="shared" si="3"/>
        <v>0</v>
      </c>
      <c r="F16" s="333"/>
      <c r="G16" s="334">
        <f>'ENCARGOS SOCIAIS'!$C$8</f>
        <v>0</v>
      </c>
      <c r="H16" s="335">
        <f t="shared" si="2"/>
        <v>0</v>
      </c>
      <c r="I16" s="334">
        <f>'ENCARGOS SOCIAIS'!$C$8</f>
        <v>0</v>
      </c>
      <c r="J16" s="335">
        <f t="shared" si="4"/>
        <v>0</v>
      </c>
      <c r="K16" s="334">
        <f>'ENCARGOS SOCIAIS'!$C$8</f>
        <v>0</v>
      </c>
      <c r="L16" s="335">
        <f t="shared" si="5"/>
        <v>0</v>
      </c>
      <c r="M16" s="334">
        <f>'ENCARGOS SOCIAIS'!$C$8</f>
        <v>0</v>
      </c>
      <c r="N16" s="335">
        <f t="shared" si="6"/>
        <v>0</v>
      </c>
    </row>
    <row r="17" spans="1:14" s="140" customFormat="1" ht="12" x14ac:dyDescent="0.25">
      <c r="A17" s="331" t="s">
        <v>172</v>
      </c>
      <c r="B17" s="332" t="s">
        <v>173</v>
      </c>
      <c r="C17" s="333"/>
      <c r="D17" s="334">
        <f>'ENCARGOS SOCIAIS'!C9</f>
        <v>0</v>
      </c>
      <c r="E17" s="335">
        <f t="shared" si="3"/>
        <v>0</v>
      </c>
      <c r="F17" s="333"/>
      <c r="G17" s="334">
        <f>'ENCARGOS SOCIAIS'!$C$9</f>
        <v>0</v>
      </c>
      <c r="H17" s="335">
        <f t="shared" si="2"/>
        <v>0</v>
      </c>
      <c r="I17" s="334">
        <f>'ENCARGOS SOCIAIS'!$C$9</f>
        <v>0</v>
      </c>
      <c r="J17" s="335">
        <f t="shared" si="4"/>
        <v>0</v>
      </c>
      <c r="K17" s="334">
        <f>'ENCARGOS SOCIAIS'!$C$9</f>
        <v>0</v>
      </c>
      <c r="L17" s="335">
        <f t="shared" si="5"/>
        <v>0</v>
      </c>
      <c r="M17" s="334">
        <f>'ENCARGOS SOCIAIS'!$C$9</f>
        <v>0</v>
      </c>
      <c r="N17" s="335">
        <f t="shared" si="6"/>
        <v>0</v>
      </c>
    </row>
    <row r="18" spans="1:14" s="140" customFormat="1" ht="12" x14ac:dyDescent="0.25">
      <c r="A18" s="331" t="s">
        <v>174</v>
      </c>
      <c r="B18" s="332" t="s">
        <v>175</v>
      </c>
      <c r="C18" s="333"/>
      <c r="D18" s="334">
        <f>'ENCARGOS SOCIAIS'!C10</f>
        <v>0</v>
      </c>
      <c r="E18" s="335">
        <f t="shared" si="3"/>
        <v>0</v>
      </c>
      <c r="F18" s="333"/>
      <c r="G18" s="334">
        <f>'ENCARGOS SOCIAIS'!$C$10</f>
        <v>0</v>
      </c>
      <c r="H18" s="335">
        <f t="shared" si="2"/>
        <v>0</v>
      </c>
      <c r="I18" s="334">
        <f>'ENCARGOS SOCIAIS'!$C$10</f>
        <v>0</v>
      </c>
      <c r="J18" s="335">
        <f t="shared" si="4"/>
        <v>0</v>
      </c>
      <c r="K18" s="334">
        <f>'ENCARGOS SOCIAIS'!$C$10</f>
        <v>0</v>
      </c>
      <c r="L18" s="335">
        <f t="shared" si="5"/>
        <v>0</v>
      </c>
      <c r="M18" s="334">
        <f>'ENCARGOS SOCIAIS'!$C$10</f>
        <v>0</v>
      </c>
      <c r="N18" s="335">
        <f t="shared" si="6"/>
        <v>0</v>
      </c>
    </row>
    <row r="19" spans="1:14" s="140" customFormat="1" ht="12" x14ac:dyDescent="0.25">
      <c r="A19" s="331" t="s">
        <v>176</v>
      </c>
      <c r="B19" s="332" t="s">
        <v>177</v>
      </c>
      <c r="C19" s="333"/>
      <c r="D19" s="334">
        <f>'ENCARGOS SOCIAIS'!C11</f>
        <v>0</v>
      </c>
      <c r="E19" s="335">
        <f t="shared" si="3"/>
        <v>0</v>
      </c>
      <c r="F19" s="333"/>
      <c r="G19" s="334">
        <f>'ENCARGOS SOCIAIS'!$C$11</f>
        <v>0</v>
      </c>
      <c r="H19" s="335">
        <f t="shared" si="2"/>
        <v>0</v>
      </c>
      <c r="I19" s="334">
        <f>'ENCARGOS SOCIAIS'!$C$11</f>
        <v>0</v>
      </c>
      <c r="J19" s="335">
        <f t="shared" si="4"/>
        <v>0</v>
      </c>
      <c r="K19" s="334">
        <f>'ENCARGOS SOCIAIS'!$C$11</f>
        <v>0</v>
      </c>
      <c r="L19" s="335">
        <f t="shared" si="5"/>
        <v>0</v>
      </c>
      <c r="M19" s="334">
        <f>'ENCARGOS SOCIAIS'!$C$11</f>
        <v>0</v>
      </c>
      <c r="N19" s="335">
        <f t="shared" si="6"/>
        <v>0</v>
      </c>
    </row>
    <row r="20" spans="1:14" s="140" customFormat="1" ht="12" x14ac:dyDescent="0.25">
      <c r="A20" s="331" t="s">
        <v>178</v>
      </c>
      <c r="B20" s="332" t="s">
        <v>179</v>
      </c>
      <c r="C20" s="333"/>
      <c r="D20" s="334">
        <f>'ENCARGOS SOCIAIS'!C12</f>
        <v>0</v>
      </c>
      <c r="E20" s="335">
        <f t="shared" si="3"/>
        <v>0</v>
      </c>
      <c r="F20" s="333"/>
      <c r="G20" s="334">
        <f>'ENCARGOS SOCIAIS'!$C$12</f>
        <v>0</v>
      </c>
      <c r="H20" s="335">
        <f t="shared" si="2"/>
        <v>0</v>
      </c>
      <c r="I20" s="334">
        <f>'ENCARGOS SOCIAIS'!$C$12</f>
        <v>0</v>
      </c>
      <c r="J20" s="335">
        <f t="shared" si="4"/>
        <v>0</v>
      </c>
      <c r="K20" s="334">
        <f>'ENCARGOS SOCIAIS'!$C$12</f>
        <v>0</v>
      </c>
      <c r="L20" s="335">
        <f t="shared" si="5"/>
        <v>0</v>
      </c>
      <c r="M20" s="334">
        <f>'ENCARGOS SOCIAIS'!$C$12</f>
        <v>0</v>
      </c>
      <c r="N20" s="335">
        <f t="shared" si="6"/>
        <v>0</v>
      </c>
    </row>
    <row r="21" spans="1:14" s="140" customFormat="1" ht="18" x14ac:dyDescent="0.25">
      <c r="A21" s="331" t="s">
        <v>180</v>
      </c>
      <c r="B21" s="332" t="s">
        <v>181</v>
      </c>
      <c r="C21" s="333"/>
      <c r="D21" s="334">
        <f>'ENCARGOS SOCIAIS'!C13</f>
        <v>0</v>
      </c>
      <c r="E21" s="335">
        <f t="shared" si="3"/>
        <v>0</v>
      </c>
      <c r="F21" s="333"/>
      <c r="G21" s="334">
        <f>'ENCARGOS SOCIAIS'!$C$13</f>
        <v>0</v>
      </c>
      <c r="H21" s="335">
        <f t="shared" si="2"/>
        <v>0</v>
      </c>
      <c r="I21" s="334">
        <f>'ENCARGOS SOCIAIS'!$C$13</f>
        <v>0</v>
      </c>
      <c r="J21" s="335">
        <f t="shared" si="4"/>
        <v>0</v>
      </c>
      <c r="K21" s="334">
        <f>'ENCARGOS SOCIAIS'!$C$13</f>
        <v>0</v>
      </c>
      <c r="L21" s="335">
        <f t="shared" si="5"/>
        <v>0</v>
      </c>
      <c r="M21" s="334">
        <f>'ENCARGOS SOCIAIS'!$C$13</f>
        <v>0</v>
      </c>
      <c r="N21" s="335">
        <f t="shared" si="6"/>
        <v>0</v>
      </c>
    </row>
    <row r="22" spans="1:14" s="140" customFormat="1" ht="12" x14ac:dyDescent="0.25">
      <c r="A22" s="326" t="s">
        <v>182</v>
      </c>
      <c r="B22" s="327" t="s">
        <v>183</v>
      </c>
      <c r="C22" s="336"/>
      <c r="D22" s="329">
        <f>SUM(D23:D29)</f>
        <v>0</v>
      </c>
      <c r="E22" s="330">
        <f t="shared" ref="E22" si="7">SUM(E23:E29)</f>
        <v>0</v>
      </c>
      <c r="F22" s="336"/>
      <c r="G22" s="329">
        <f>SUM(G23:G29)</f>
        <v>0</v>
      </c>
      <c r="H22" s="330">
        <f t="shared" ref="H22:N22" si="8">SUM(H23:H29)</f>
        <v>0</v>
      </c>
      <c r="I22" s="329">
        <f>SUM(I23:I29)</f>
        <v>0</v>
      </c>
      <c r="J22" s="330">
        <f t="shared" si="8"/>
        <v>0</v>
      </c>
      <c r="K22" s="329">
        <f>SUM(K23:K29)</f>
        <v>0</v>
      </c>
      <c r="L22" s="330">
        <f t="shared" si="8"/>
        <v>0</v>
      </c>
      <c r="M22" s="329">
        <f>SUM(M23:M29)</f>
        <v>0</v>
      </c>
      <c r="N22" s="330">
        <f t="shared" si="8"/>
        <v>0</v>
      </c>
    </row>
    <row r="23" spans="1:14" s="140" customFormat="1" ht="12" x14ac:dyDescent="0.25">
      <c r="A23" s="331" t="s">
        <v>184</v>
      </c>
      <c r="B23" s="332" t="s">
        <v>185</v>
      </c>
      <c r="C23" s="333"/>
      <c r="D23" s="334">
        <f>'ENCARGOS SOCIAIS'!C15</f>
        <v>0</v>
      </c>
      <c r="E23" s="335">
        <f>ROUND((D23*$D$8),2)</f>
        <v>0</v>
      </c>
      <c r="F23" s="333"/>
      <c r="G23" s="334">
        <f>'ENCARGOS SOCIAIS'!$C$15</f>
        <v>0</v>
      </c>
      <c r="H23" s="335">
        <f t="shared" ref="H23:H29" si="9">ROUND((G23*$G$8),2)</f>
        <v>0</v>
      </c>
      <c r="I23" s="334">
        <f>'ENCARGOS SOCIAIS'!$C$15</f>
        <v>0</v>
      </c>
      <c r="J23" s="335">
        <f>ROUND((I23*$I$8),2)</f>
        <v>0</v>
      </c>
      <c r="K23" s="334">
        <f>'ENCARGOS SOCIAIS'!$C$15</f>
        <v>0</v>
      </c>
      <c r="L23" s="335">
        <f>ROUND((K23*$K$8),2)</f>
        <v>0</v>
      </c>
      <c r="M23" s="334">
        <f>'ENCARGOS SOCIAIS'!$C$15</f>
        <v>0</v>
      </c>
      <c r="N23" s="335">
        <f>ROUND((M23*$M$8),2)</f>
        <v>0</v>
      </c>
    </row>
    <row r="24" spans="1:14" s="140" customFormat="1" ht="12" x14ac:dyDescent="0.25">
      <c r="A24" s="331" t="s">
        <v>186</v>
      </c>
      <c r="B24" s="332" t="s">
        <v>187</v>
      </c>
      <c r="C24" s="333"/>
      <c r="D24" s="334">
        <f>'ENCARGOS SOCIAIS'!C16</f>
        <v>0</v>
      </c>
      <c r="E24" s="335">
        <f t="shared" ref="E24:E29" si="10">ROUND((D24*$D$8),2)</f>
        <v>0</v>
      </c>
      <c r="F24" s="333"/>
      <c r="G24" s="334">
        <f>'ENCARGOS SOCIAIS'!$C$16</f>
        <v>0</v>
      </c>
      <c r="H24" s="335">
        <f t="shared" si="9"/>
        <v>0</v>
      </c>
      <c r="I24" s="334">
        <f>'ENCARGOS SOCIAIS'!$C$16</f>
        <v>0</v>
      </c>
      <c r="J24" s="335">
        <f t="shared" ref="J24:J29" si="11">ROUND((I24*$I$8),2)</f>
        <v>0</v>
      </c>
      <c r="K24" s="334">
        <f>'ENCARGOS SOCIAIS'!$C$16</f>
        <v>0</v>
      </c>
      <c r="L24" s="335">
        <f t="shared" ref="L24:L29" si="12">ROUND((K24*$K$8),2)</f>
        <v>0</v>
      </c>
      <c r="M24" s="334">
        <f>'ENCARGOS SOCIAIS'!$C$16</f>
        <v>0</v>
      </c>
      <c r="N24" s="335">
        <f t="shared" ref="N24:N29" si="13">ROUND((M24*$M$8),2)</f>
        <v>0</v>
      </c>
    </row>
    <row r="25" spans="1:14" s="140" customFormat="1" ht="12" x14ac:dyDescent="0.25">
      <c r="A25" s="331" t="s">
        <v>188</v>
      </c>
      <c r="B25" s="332" t="s">
        <v>189</v>
      </c>
      <c r="C25" s="333"/>
      <c r="D25" s="334">
        <f>'ENCARGOS SOCIAIS'!C17</f>
        <v>0</v>
      </c>
      <c r="E25" s="335">
        <f t="shared" si="10"/>
        <v>0</v>
      </c>
      <c r="F25" s="333"/>
      <c r="G25" s="334">
        <f>'ENCARGOS SOCIAIS'!$C$17</f>
        <v>0</v>
      </c>
      <c r="H25" s="335">
        <f t="shared" si="9"/>
        <v>0</v>
      </c>
      <c r="I25" s="334">
        <f>'ENCARGOS SOCIAIS'!$C$17</f>
        <v>0</v>
      </c>
      <c r="J25" s="335">
        <f t="shared" si="11"/>
        <v>0</v>
      </c>
      <c r="K25" s="334">
        <f>'ENCARGOS SOCIAIS'!$C$17</f>
        <v>0</v>
      </c>
      <c r="L25" s="335">
        <f t="shared" si="12"/>
        <v>0</v>
      </c>
      <c r="M25" s="334">
        <f>'ENCARGOS SOCIAIS'!$C$17</f>
        <v>0</v>
      </c>
      <c r="N25" s="335">
        <f t="shared" si="13"/>
        <v>0</v>
      </c>
    </row>
    <row r="26" spans="1:14" s="140" customFormat="1" ht="12" x14ac:dyDescent="0.25">
      <c r="A26" s="331" t="s">
        <v>190</v>
      </c>
      <c r="B26" s="332" t="s">
        <v>191</v>
      </c>
      <c r="C26" s="333"/>
      <c r="D26" s="334">
        <f>'ENCARGOS SOCIAIS'!C18</f>
        <v>0</v>
      </c>
      <c r="E26" s="335">
        <f t="shared" si="10"/>
        <v>0</v>
      </c>
      <c r="F26" s="333"/>
      <c r="G26" s="334">
        <f>'ENCARGOS SOCIAIS'!$C$18</f>
        <v>0</v>
      </c>
      <c r="H26" s="335">
        <f t="shared" si="9"/>
        <v>0</v>
      </c>
      <c r="I26" s="334">
        <f>'ENCARGOS SOCIAIS'!$C$18</f>
        <v>0</v>
      </c>
      <c r="J26" s="335">
        <f t="shared" si="11"/>
        <v>0</v>
      </c>
      <c r="K26" s="334">
        <f>'ENCARGOS SOCIAIS'!$C$18</f>
        <v>0</v>
      </c>
      <c r="L26" s="335">
        <f t="shared" si="12"/>
        <v>0</v>
      </c>
      <c r="M26" s="334">
        <f>'ENCARGOS SOCIAIS'!$C$18</f>
        <v>0</v>
      </c>
      <c r="N26" s="335">
        <f t="shared" si="13"/>
        <v>0</v>
      </c>
    </row>
    <row r="27" spans="1:14" s="140" customFormat="1" ht="12" x14ac:dyDescent="0.25">
      <c r="A27" s="331" t="s">
        <v>192</v>
      </c>
      <c r="B27" s="332" t="s">
        <v>193</v>
      </c>
      <c r="C27" s="333"/>
      <c r="D27" s="334">
        <f>'ENCARGOS SOCIAIS'!C19</f>
        <v>0</v>
      </c>
      <c r="E27" s="335">
        <f t="shared" si="10"/>
        <v>0</v>
      </c>
      <c r="F27" s="333"/>
      <c r="G27" s="334">
        <f>'ENCARGOS SOCIAIS'!$C$19</f>
        <v>0</v>
      </c>
      <c r="H27" s="335">
        <f t="shared" si="9"/>
        <v>0</v>
      </c>
      <c r="I27" s="334">
        <f>'ENCARGOS SOCIAIS'!$C$19</f>
        <v>0</v>
      </c>
      <c r="J27" s="335">
        <f t="shared" si="11"/>
        <v>0</v>
      </c>
      <c r="K27" s="334">
        <f>'ENCARGOS SOCIAIS'!$C$19</f>
        <v>0</v>
      </c>
      <c r="L27" s="335">
        <f t="shared" si="12"/>
        <v>0</v>
      </c>
      <c r="M27" s="334">
        <f>'ENCARGOS SOCIAIS'!$C$19</f>
        <v>0</v>
      </c>
      <c r="N27" s="335">
        <f t="shared" si="13"/>
        <v>0</v>
      </c>
    </row>
    <row r="28" spans="1:14" s="140" customFormat="1" ht="12" x14ac:dyDescent="0.25">
      <c r="A28" s="331" t="s">
        <v>194</v>
      </c>
      <c r="B28" s="332" t="s">
        <v>195</v>
      </c>
      <c r="C28" s="333"/>
      <c r="D28" s="334">
        <f>'ENCARGOS SOCIAIS'!C20</f>
        <v>0</v>
      </c>
      <c r="E28" s="335">
        <f t="shared" si="10"/>
        <v>0</v>
      </c>
      <c r="F28" s="333"/>
      <c r="G28" s="334">
        <f>'ENCARGOS SOCIAIS'!$C$20</f>
        <v>0</v>
      </c>
      <c r="H28" s="335">
        <f t="shared" si="9"/>
        <v>0</v>
      </c>
      <c r="I28" s="334">
        <f>'ENCARGOS SOCIAIS'!$C$20</f>
        <v>0</v>
      </c>
      <c r="J28" s="335">
        <f t="shared" si="11"/>
        <v>0</v>
      </c>
      <c r="K28" s="334">
        <f>'ENCARGOS SOCIAIS'!$C$20</f>
        <v>0</v>
      </c>
      <c r="L28" s="335">
        <f t="shared" si="12"/>
        <v>0</v>
      </c>
      <c r="M28" s="334">
        <f>'ENCARGOS SOCIAIS'!$C$20</f>
        <v>0</v>
      </c>
      <c r="N28" s="335">
        <f t="shared" si="13"/>
        <v>0</v>
      </c>
    </row>
    <row r="29" spans="1:14" s="140" customFormat="1" ht="12" x14ac:dyDescent="0.25">
      <c r="A29" s="331" t="s">
        <v>196</v>
      </c>
      <c r="B29" s="332" t="s">
        <v>197</v>
      </c>
      <c r="C29" s="333"/>
      <c r="D29" s="334">
        <f>'ENCARGOS SOCIAIS'!C21</f>
        <v>0</v>
      </c>
      <c r="E29" s="335">
        <f t="shared" si="10"/>
        <v>0</v>
      </c>
      <c r="F29" s="333"/>
      <c r="G29" s="334">
        <f>'ENCARGOS SOCIAIS'!$C$21</f>
        <v>0</v>
      </c>
      <c r="H29" s="335">
        <f t="shared" si="9"/>
        <v>0</v>
      </c>
      <c r="I29" s="334">
        <f>'ENCARGOS SOCIAIS'!$C$21</f>
        <v>0</v>
      </c>
      <c r="J29" s="335">
        <f t="shared" si="11"/>
        <v>0</v>
      </c>
      <c r="K29" s="334">
        <f>'ENCARGOS SOCIAIS'!$C$21</f>
        <v>0</v>
      </c>
      <c r="L29" s="335">
        <f t="shared" si="12"/>
        <v>0</v>
      </c>
      <c r="M29" s="334">
        <f>'ENCARGOS SOCIAIS'!$C$21</f>
        <v>0</v>
      </c>
      <c r="N29" s="335">
        <f t="shared" si="13"/>
        <v>0</v>
      </c>
    </row>
    <row r="30" spans="1:14" s="140" customFormat="1" ht="12" x14ac:dyDescent="0.25">
      <c r="A30" s="326" t="s">
        <v>198</v>
      </c>
      <c r="B30" s="327" t="s">
        <v>199</v>
      </c>
      <c r="C30" s="336"/>
      <c r="D30" s="329">
        <f>SUM(D31:D35)</f>
        <v>0</v>
      </c>
      <c r="E30" s="330">
        <f t="shared" ref="E30" si="14">SUM(E31:E35)</f>
        <v>0</v>
      </c>
      <c r="F30" s="336"/>
      <c r="G30" s="329">
        <f>SUM(G31:G35)</f>
        <v>0</v>
      </c>
      <c r="H30" s="330">
        <f t="shared" ref="H30:N30" si="15">SUM(H31:H35)</f>
        <v>0</v>
      </c>
      <c r="I30" s="329">
        <f>SUM(I31:I35)</f>
        <v>0</v>
      </c>
      <c r="J30" s="330">
        <f t="shared" si="15"/>
        <v>0</v>
      </c>
      <c r="K30" s="329">
        <f>SUM(K31:K35)</f>
        <v>0</v>
      </c>
      <c r="L30" s="330">
        <f t="shared" si="15"/>
        <v>0</v>
      </c>
      <c r="M30" s="329">
        <f>SUM(M31:M35)</f>
        <v>0</v>
      </c>
      <c r="N30" s="330">
        <f t="shared" si="15"/>
        <v>0</v>
      </c>
    </row>
    <row r="31" spans="1:14" s="140" customFormat="1" ht="12" x14ac:dyDescent="0.25">
      <c r="A31" s="331" t="s">
        <v>200</v>
      </c>
      <c r="B31" s="332" t="s">
        <v>201</v>
      </c>
      <c r="C31" s="333"/>
      <c r="D31" s="334">
        <f>'ENCARGOS SOCIAIS'!C23</f>
        <v>0</v>
      </c>
      <c r="E31" s="335">
        <f>ROUND((D31*$D$8),2)</f>
        <v>0</v>
      </c>
      <c r="F31" s="333"/>
      <c r="G31" s="334">
        <f>'ENCARGOS SOCIAIS'!$C$23</f>
        <v>0</v>
      </c>
      <c r="H31" s="335">
        <f>ROUND((G31*$G$8),2)</f>
        <v>0</v>
      </c>
      <c r="I31" s="334">
        <f>'ENCARGOS SOCIAIS'!$C$23</f>
        <v>0</v>
      </c>
      <c r="J31" s="335">
        <f>ROUND((I31*$I$8),2)</f>
        <v>0</v>
      </c>
      <c r="K31" s="334">
        <f>'ENCARGOS SOCIAIS'!$C$23</f>
        <v>0</v>
      </c>
      <c r="L31" s="335">
        <f>ROUND((K31*$K$8),2)</f>
        <v>0</v>
      </c>
      <c r="M31" s="334">
        <f>'ENCARGOS SOCIAIS'!$C$23</f>
        <v>0</v>
      </c>
      <c r="N31" s="335">
        <f>ROUND((M31*$M$8),2)</f>
        <v>0</v>
      </c>
    </row>
    <row r="32" spans="1:14" s="140" customFormat="1" ht="12" x14ac:dyDescent="0.25">
      <c r="A32" s="331" t="s">
        <v>202</v>
      </c>
      <c r="B32" s="332" t="s">
        <v>203</v>
      </c>
      <c r="C32" s="333"/>
      <c r="D32" s="334">
        <f>'ENCARGOS SOCIAIS'!C24</f>
        <v>0</v>
      </c>
      <c r="E32" s="335">
        <f t="shared" ref="E32:E35" si="16">ROUND((D32*$D$8),2)</f>
        <v>0</v>
      </c>
      <c r="F32" s="333"/>
      <c r="G32" s="334">
        <f>'ENCARGOS SOCIAIS'!$C$24</f>
        <v>0</v>
      </c>
      <c r="H32" s="335">
        <f>ROUND((G32*$G$8),2)</f>
        <v>0</v>
      </c>
      <c r="I32" s="334">
        <f>'ENCARGOS SOCIAIS'!$C$24</f>
        <v>0</v>
      </c>
      <c r="J32" s="335">
        <f t="shared" ref="J32:J35" si="17">ROUND((I32*$I$8),2)</f>
        <v>0</v>
      </c>
      <c r="K32" s="334">
        <f>'ENCARGOS SOCIAIS'!$C$24</f>
        <v>0</v>
      </c>
      <c r="L32" s="335">
        <f t="shared" ref="L32:L35" si="18">ROUND((K32*$K$8),2)</f>
        <v>0</v>
      </c>
      <c r="M32" s="334">
        <f>'ENCARGOS SOCIAIS'!$C$24</f>
        <v>0</v>
      </c>
      <c r="N32" s="335">
        <f t="shared" ref="N32:N35" si="19">ROUND((M32*$M$8),2)</f>
        <v>0</v>
      </c>
    </row>
    <row r="33" spans="1:17" s="140" customFormat="1" ht="12" x14ac:dyDescent="0.25">
      <c r="A33" s="331" t="s">
        <v>204</v>
      </c>
      <c r="B33" s="332" t="s">
        <v>205</v>
      </c>
      <c r="C33" s="333"/>
      <c r="D33" s="334">
        <f>'ENCARGOS SOCIAIS'!C25</f>
        <v>0</v>
      </c>
      <c r="E33" s="335">
        <f t="shared" si="16"/>
        <v>0</v>
      </c>
      <c r="F33" s="333"/>
      <c r="G33" s="334">
        <f>'ENCARGOS SOCIAIS'!$C$25</f>
        <v>0</v>
      </c>
      <c r="H33" s="335">
        <f>ROUND((G33*$G$8),2)</f>
        <v>0</v>
      </c>
      <c r="I33" s="334">
        <f>'ENCARGOS SOCIAIS'!$C$25</f>
        <v>0</v>
      </c>
      <c r="J33" s="335">
        <f t="shared" si="17"/>
        <v>0</v>
      </c>
      <c r="K33" s="334">
        <f>'ENCARGOS SOCIAIS'!$C$25</f>
        <v>0</v>
      </c>
      <c r="L33" s="335">
        <f t="shared" si="18"/>
        <v>0</v>
      </c>
      <c r="M33" s="334">
        <f>'ENCARGOS SOCIAIS'!$C$25</f>
        <v>0</v>
      </c>
      <c r="N33" s="335">
        <f t="shared" si="19"/>
        <v>0</v>
      </c>
    </row>
    <row r="34" spans="1:17" s="140" customFormat="1" ht="12" x14ac:dyDescent="0.25">
      <c r="A34" s="331" t="s">
        <v>206</v>
      </c>
      <c r="B34" s="332" t="s">
        <v>207</v>
      </c>
      <c r="C34" s="333"/>
      <c r="D34" s="334">
        <f>'ENCARGOS SOCIAIS'!C26</f>
        <v>0</v>
      </c>
      <c r="E34" s="335">
        <f t="shared" si="16"/>
        <v>0</v>
      </c>
      <c r="F34" s="333"/>
      <c r="G34" s="334">
        <f>'ENCARGOS SOCIAIS'!$C$26</f>
        <v>0</v>
      </c>
      <c r="H34" s="335">
        <f>ROUND((G34*$G$8),2)</f>
        <v>0</v>
      </c>
      <c r="I34" s="334">
        <f>'ENCARGOS SOCIAIS'!$C$26</f>
        <v>0</v>
      </c>
      <c r="J34" s="335">
        <f t="shared" si="17"/>
        <v>0</v>
      </c>
      <c r="K34" s="334">
        <f>'ENCARGOS SOCIAIS'!$C$26</f>
        <v>0</v>
      </c>
      <c r="L34" s="335">
        <f t="shared" si="18"/>
        <v>0</v>
      </c>
      <c r="M34" s="334">
        <f>'ENCARGOS SOCIAIS'!$C$26</f>
        <v>0</v>
      </c>
      <c r="N34" s="335">
        <f t="shared" si="19"/>
        <v>0</v>
      </c>
    </row>
    <row r="35" spans="1:17" s="140" customFormat="1" ht="12" x14ac:dyDescent="0.25">
      <c r="A35" s="331" t="s">
        <v>208</v>
      </c>
      <c r="B35" s="332" t="s">
        <v>209</v>
      </c>
      <c r="C35" s="333"/>
      <c r="D35" s="334">
        <f>'ENCARGOS SOCIAIS'!C27</f>
        <v>0</v>
      </c>
      <c r="E35" s="335">
        <f t="shared" si="16"/>
        <v>0</v>
      </c>
      <c r="F35" s="333"/>
      <c r="G35" s="334">
        <f>'ENCARGOS SOCIAIS'!$C$27</f>
        <v>0</v>
      </c>
      <c r="H35" s="335">
        <f>ROUND((G35*$G$8),2)</f>
        <v>0</v>
      </c>
      <c r="I35" s="334">
        <f>'ENCARGOS SOCIAIS'!$C$27</f>
        <v>0</v>
      </c>
      <c r="J35" s="335">
        <f t="shared" si="17"/>
        <v>0</v>
      </c>
      <c r="K35" s="334">
        <f>'ENCARGOS SOCIAIS'!$C$27</f>
        <v>0</v>
      </c>
      <c r="L35" s="335">
        <f t="shared" si="18"/>
        <v>0</v>
      </c>
      <c r="M35" s="334">
        <f>'ENCARGOS SOCIAIS'!$C$27</f>
        <v>0</v>
      </c>
      <c r="N35" s="335">
        <f t="shared" si="19"/>
        <v>0</v>
      </c>
    </row>
    <row r="36" spans="1:17" s="140" customFormat="1" ht="12" x14ac:dyDescent="0.25">
      <c r="A36" s="326" t="s">
        <v>210</v>
      </c>
      <c r="B36" s="327" t="s">
        <v>211</v>
      </c>
      <c r="C36" s="336"/>
      <c r="D36" s="329">
        <f>SUM(D37:D38)</f>
        <v>0</v>
      </c>
      <c r="E36" s="330">
        <f t="shared" ref="E36" si="20">SUM(E37:E38)</f>
        <v>0</v>
      </c>
      <c r="F36" s="336"/>
      <c r="G36" s="329">
        <f>SUM(G37:G38)</f>
        <v>0</v>
      </c>
      <c r="H36" s="330">
        <f t="shared" ref="H36:N36" si="21">SUM(H37:H38)</f>
        <v>0</v>
      </c>
      <c r="I36" s="329">
        <f>SUM(I37:I38)</f>
        <v>0</v>
      </c>
      <c r="J36" s="330">
        <f t="shared" si="21"/>
        <v>0</v>
      </c>
      <c r="K36" s="329">
        <f>SUM(K37:K38)</f>
        <v>0</v>
      </c>
      <c r="L36" s="330">
        <f t="shared" si="21"/>
        <v>0</v>
      </c>
      <c r="M36" s="329">
        <f>SUM(M37:M38)</f>
        <v>0</v>
      </c>
      <c r="N36" s="330">
        <f t="shared" si="21"/>
        <v>0</v>
      </c>
    </row>
    <row r="37" spans="1:17" s="140" customFormat="1" ht="12" x14ac:dyDescent="0.25">
      <c r="A37" s="331" t="s">
        <v>212</v>
      </c>
      <c r="B37" s="332" t="s">
        <v>213</v>
      </c>
      <c r="C37" s="333"/>
      <c r="D37" s="334">
        <f>'ENCARGOS SOCIAIS'!C29</f>
        <v>0</v>
      </c>
      <c r="E37" s="335">
        <f>ROUND((D37*$D$8),2)</f>
        <v>0</v>
      </c>
      <c r="F37" s="333"/>
      <c r="G37" s="334">
        <f>'ENCARGOS SOCIAIS'!$C$29</f>
        <v>0</v>
      </c>
      <c r="H37" s="335">
        <f>ROUND((G37*$G$8),2)</f>
        <v>0</v>
      </c>
      <c r="I37" s="334">
        <f>'ENCARGOS SOCIAIS'!$C$29</f>
        <v>0</v>
      </c>
      <c r="J37" s="335">
        <f>ROUND((I37*$I$8),2)</f>
        <v>0</v>
      </c>
      <c r="K37" s="334">
        <f>'ENCARGOS SOCIAIS'!$C$29</f>
        <v>0</v>
      </c>
      <c r="L37" s="335">
        <f>ROUND((K37*$K$8),2)</f>
        <v>0</v>
      </c>
      <c r="M37" s="334">
        <f>'ENCARGOS SOCIAIS'!$C$29</f>
        <v>0</v>
      </c>
      <c r="N37" s="335">
        <f>ROUND((M37*$M$8),2)</f>
        <v>0</v>
      </c>
    </row>
    <row r="38" spans="1:17" s="140" customFormat="1" ht="18" x14ac:dyDescent="0.25">
      <c r="A38" s="331" t="s">
        <v>214</v>
      </c>
      <c r="B38" s="332" t="s">
        <v>215</v>
      </c>
      <c r="C38" s="337"/>
      <c r="D38" s="334">
        <f>'ENCARGOS SOCIAIS'!C30</f>
        <v>0</v>
      </c>
      <c r="E38" s="335">
        <f>ROUND((D38*$D$8),2)</f>
        <v>0</v>
      </c>
      <c r="F38" s="337"/>
      <c r="G38" s="334">
        <f>'ENCARGOS SOCIAIS'!$C$30</f>
        <v>0</v>
      </c>
      <c r="H38" s="335">
        <f>ROUND((G38*$G$8),2)</f>
        <v>0</v>
      </c>
      <c r="I38" s="334">
        <f>'ENCARGOS SOCIAIS'!$C$30</f>
        <v>0</v>
      </c>
      <c r="J38" s="335">
        <f>ROUND((I38*$I$8),2)</f>
        <v>0</v>
      </c>
      <c r="K38" s="334">
        <f>'ENCARGOS SOCIAIS'!$C$30</f>
        <v>0</v>
      </c>
      <c r="L38" s="335">
        <f>ROUND((K38*$K$8),2)</f>
        <v>0</v>
      </c>
      <c r="M38" s="334">
        <f>'ENCARGOS SOCIAIS'!$C$30</f>
        <v>0</v>
      </c>
      <c r="N38" s="335">
        <f>ROUND((M38*$M$8),2)</f>
        <v>0</v>
      </c>
    </row>
    <row r="39" spans="1:17" s="140" customFormat="1" ht="12" x14ac:dyDescent="0.25">
      <c r="A39" s="499" t="s">
        <v>216</v>
      </c>
      <c r="B39" s="500"/>
      <c r="C39" s="324"/>
      <c r="D39" s="338">
        <f>D36+D30+D22+D12</f>
        <v>0</v>
      </c>
      <c r="E39" s="339">
        <f t="shared" ref="E39" si="22">E36+E30+E22+E12</f>
        <v>0</v>
      </c>
      <c r="F39" s="324"/>
      <c r="G39" s="338">
        <f>G36+G30+G22+G12</f>
        <v>0</v>
      </c>
      <c r="H39" s="339">
        <f>H36+H30+H22+H12</f>
        <v>0</v>
      </c>
      <c r="I39" s="338">
        <f>I36+I30+I22+I12</f>
        <v>0</v>
      </c>
      <c r="J39" s="339">
        <f t="shared" ref="J39" si="23">J36+J30+J22+J12</f>
        <v>0</v>
      </c>
      <c r="K39" s="338">
        <f>K36+K30+K22+K12</f>
        <v>0</v>
      </c>
      <c r="L39" s="339">
        <f t="shared" ref="L39" si="24">L36+L30+L22+L12</f>
        <v>0</v>
      </c>
      <c r="M39" s="338">
        <f>M36+M30+M22+M12</f>
        <v>0</v>
      </c>
      <c r="N39" s="339">
        <f t="shared" ref="N39" si="25">N36+N30+N22+N12</f>
        <v>0</v>
      </c>
    </row>
    <row r="40" spans="1:17" s="140" customFormat="1" ht="12" x14ac:dyDescent="0.25">
      <c r="A40" s="331"/>
      <c r="B40" s="340"/>
      <c r="C40" s="341"/>
      <c r="D40" s="331"/>
      <c r="E40" s="342"/>
      <c r="F40" s="341"/>
      <c r="G40" s="331"/>
      <c r="H40" s="342"/>
      <c r="I40" s="331"/>
      <c r="J40" s="342"/>
      <c r="K40" s="331"/>
      <c r="L40" s="342"/>
      <c r="M40" s="331"/>
      <c r="N40" s="342"/>
    </row>
    <row r="41" spans="1:17" s="140" customFormat="1" ht="12" x14ac:dyDescent="0.25">
      <c r="A41" s="322">
        <v>6</v>
      </c>
      <c r="B41" s="343" t="s">
        <v>217</v>
      </c>
      <c r="C41" s="324"/>
      <c r="D41" s="322" t="s">
        <v>160</v>
      </c>
      <c r="E41" s="325" t="s">
        <v>161</v>
      </c>
      <c r="F41" s="324"/>
      <c r="G41" s="322" t="s">
        <v>160</v>
      </c>
      <c r="H41" s="325" t="s">
        <v>161</v>
      </c>
      <c r="I41" s="322" t="s">
        <v>160</v>
      </c>
      <c r="J41" s="325" t="s">
        <v>161</v>
      </c>
      <c r="K41" s="322" t="s">
        <v>160</v>
      </c>
      <c r="L41" s="325" t="s">
        <v>161</v>
      </c>
      <c r="M41" s="322" t="s">
        <v>160</v>
      </c>
      <c r="N41" s="325" t="s">
        <v>161</v>
      </c>
    </row>
    <row r="42" spans="1:17" s="140" customFormat="1" ht="12" x14ac:dyDescent="0.25">
      <c r="A42" s="331" t="s">
        <v>218</v>
      </c>
      <c r="B42" s="332" t="s">
        <v>219</v>
      </c>
      <c r="C42" s="333"/>
      <c r="D42" s="334" t="e">
        <f>E42/$D$8</f>
        <v>#DIV/0!</v>
      </c>
      <c r="E42" s="412">
        <v>0</v>
      </c>
      <c r="F42" s="333"/>
      <c r="G42" s="334" t="e">
        <f>H42/$G$8</f>
        <v>#DIV/0!</v>
      </c>
      <c r="H42" s="412">
        <v>0</v>
      </c>
      <c r="I42" s="334" t="e">
        <f>J42/$I$8</f>
        <v>#REF!</v>
      </c>
      <c r="J42" s="335" t="e">
        <f>#REF!</f>
        <v>#REF!</v>
      </c>
      <c r="K42" s="334" t="e">
        <f>L42/$K$8</f>
        <v>#REF!</v>
      </c>
      <c r="L42" s="335" t="e">
        <f>#REF!</f>
        <v>#REF!</v>
      </c>
      <c r="M42" s="334" t="e">
        <f>N42/$M$8</f>
        <v>#REF!</v>
      </c>
      <c r="N42" s="335" t="e">
        <f>#REF!</f>
        <v>#REF!</v>
      </c>
    </row>
    <row r="43" spans="1:17" s="140" customFormat="1" ht="12" x14ac:dyDescent="0.25">
      <c r="A43" s="331" t="s">
        <v>220</v>
      </c>
      <c r="B43" s="332" t="s">
        <v>221</v>
      </c>
      <c r="C43" s="333"/>
      <c r="D43" s="334" t="e">
        <f t="shared" ref="D43:D46" si="26">E43/$D$8</f>
        <v>#DIV/0!</v>
      </c>
      <c r="E43" s="412">
        <v>0</v>
      </c>
      <c r="F43" s="333"/>
      <c r="G43" s="334" t="e">
        <f t="shared" ref="G43:G47" si="27">H43/$G$8</f>
        <v>#DIV/0!</v>
      </c>
      <c r="H43" s="412">
        <v>0</v>
      </c>
      <c r="I43" s="334" t="e">
        <f t="shared" ref="I43:I47" si="28">J43/$I$8</f>
        <v>#REF!</v>
      </c>
      <c r="J43" s="335" t="e">
        <f>#REF!</f>
        <v>#REF!</v>
      </c>
      <c r="K43" s="334" t="e">
        <f t="shared" ref="K43:K47" si="29">L43/$K$8</f>
        <v>#REF!</v>
      </c>
      <c r="L43" s="335" t="e">
        <f>#REF!</f>
        <v>#REF!</v>
      </c>
      <c r="M43" s="334" t="e">
        <f t="shared" ref="M43:M47" si="30">N43/$M$8</f>
        <v>#REF!</v>
      </c>
      <c r="N43" s="335" t="e">
        <f>#REF!</f>
        <v>#REF!</v>
      </c>
    </row>
    <row r="44" spans="1:17" s="140" customFormat="1" ht="12" x14ac:dyDescent="0.25">
      <c r="A44" s="331" t="s">
        <v>222</v>
      </c>
      <c r="B44" s="332" t="s">
        <v>223</v>
      </c>
      <c r="C44" s="333"/>
      <c r="D44" s="334" t="e">
        <f t="shared" si="26"/>
        <v>#DIV/0!</v>
      </c>
      <c r="E44" s="414"/>
      <c r="F44" s="333"/>
      <c r="G44" s="334" t="e">
        <f t="shared" si="27"/>
        <v>#DIV/0!</v>
      </c>
      <c r="H44" s="412"/>
      <c r="I44" s="334">
        <f t="shared" si="28"/>
        <v>0</v>
      </c>
      <c r="J44" s="335">
        <v>0</v>
      </c>
      <c r="K44" s="334" t="e">
        <f t="shared" si="29"/>
        <v>#REF!</v>
      </c>
      <c r="L44" s="335" t="e">
        <f>#REF!</f>
        <v>#REF!</v>
      </c>
      <c r="M44" s="334" t="e">
        <f t="shared" si="30"/>
        <v>#REF!</v>
      </c>
      <c r="N44" s="335" t="e">
        <f>#REF!</f>
        <v>#REF!</v>
      </c>
    </row>
    <row r="45" spans="1:17" s="140" customFormat="1" ht="12" x14ac:dyDescent="0.25">
      <c r="A45" s="331" t="s">
        <v>224</v>
      </c>
      <c r="B45" s="332" t="s">
        <v>225</v>
      </c>
      <c r="C45" s="333"/>
      <c r="D45" s="334">
        <v>0</v>
      </c>
      <c r="E45" s="412">
        <v>0</v>
      </c>
      <c r="F45" s="333"/>
      <c r="G45" s="334" t="e">
        <f t="shared" si="27"/>
        <v>#DIV/0!</v>
      </c>
      <c r="H45" s="412">
        <v>0</v>
      </c>
      <c r="I45" s="334">
        <f t="shared" si="28"/>
        <v>0</v>
      </c>
      <c r="J45" s="335">
        <v>0</v>
      </c>
      <c r="K45" s="334" t="e">
        <f t="shared" si="29"/>
        <v>#REF!</v>
      </c>
      <c r="L45" s="335" t="e">
        <f>#REF!</f>
        <v>#REF!</v>
      </c>
      <c r="M45" s="334" t="e">
        <f t="shared" si="30"/>
        <v>#REF!</v>
      </c>
      <c r="N45" s="335" t="e">
        <f>#REF!</f>
        <v>#REF!</v>
      </c>
    </row>
    <row r="46" spans="1:17" s="140" customFormat="1" ht="12" x14ac:dyDescent="0.25">
      <c r="A46" s="331" t="s">
        <v>226</v>
      </c>
      <c r="B46" s="332" t="s">
        <v>227</v>
      </c>
      <c r="C46" s="333"/>
      <c r="D46" s="334" t="e">
        <f t="shared" si="26"/>
        <v>#DIV/0!</v>
      </c>
      <c r="E46" s="413"/>
      <c r="F46" s="333"/>
      <c r="G46" s="334" t="e">
        <f>H46/$G$8</f>
        <v>#DIV/0!</v>
      </c>
      <c r="H46" s="412"/>
      <c r="I46" s="334" t="e">
        <f t="shared" si="28"/>
        <v>#REF!</v>
      </c>
      <c r="J46" s="335" t="e">
        <f>#REF!</f>
        <v>#REF!</v>
      </c>
      <c r="K46" s="334" t="e">
        <f t="shared" si="29"/>
        <v>#REF!</v>
      </c>
      <c r="L46" s="335" t="e">
        <f>#REF!</f>
        <v>#REF!</v>
      </c>
      <c r="M46" s="334" t="e">
        <f t="shared" si="30"/>
        <v>#REF!</v>
      </c>
      <c r="N46" s="335" t="e">
        <f>#REF!</f>
        <v>#REF!</v>
      </c>
    </row>
    <row r="47" spans="1:17" s="140" customFormat="1" ht="12" x14ac:dyDescent="0.25">
      <c r="A47" s="331" t="s">
        <v>228</v>
      </c>
      <c r="B47" s="332" t="s">
        <v>229</v>
      </c>
      <c r="C47" s="333"/>
      <c r="D47" s="334" t="e">
        <f>E47/$D$8</f>
        <v>#DIV/0!</v>
      </c>
      <c r="E47" s="412"/>
      <c r="F47" s="333"/>
      <c r="G47" s="334" t="e">
        <f t="shared" si="27"/>
        <v>#DIV/0!</v>
      </c>
      <c r="H47" s="412"/>
      <c r="I47" s="334" t="e">
        <f t="shared" si="28"/>
        <v>#REF!</v>
      </c>
      <c r="J47" s="335" t="e">
        <f>#REF!</f>
        <v>#REF!</v>
      </c>
      <c r="K47" s="334" t="e">
        <f t="shared" si="29"/>
        <v>#REF!</v>
      </c>
      <c r="L47" s="335" t="e">
        <f>#REF!</f>
        <v>#REF!</v>
      </c>
      <c r="M47" s="334" t="e">
        <f t="shared" si="30"/>
        <v>#REF!</v>
      </c>
      <c r="N47" s="335" t="e">
        <f>#REF!</f>
        <v>#REF!</v>
      </c>
    </row>
    <row r="48" spans="1:17" s="140" customFormat="1" ht="12" x14ac:dyDescent="0.25">
      <c r="A48" s="499" t="s">
        <v>230</v>
      </c>
      <c r="B48" s="500"/>
      <c r="C48" s="324"/>
      <c r="D48" s="338" t="e">
        <f>SUM(D42:D47)</f>
        <v>#DIV/0!</v>
      </c>
      <c r="E48" s="339">
        <f t="shared" ref="E48" si="31">SUM(E42:E47)</f>
        <v>0</v>
      </c>
      <c r="F48" s="324"/>
      <c r="G48" s="338" t="e">
        <f t="shared" ref="G48:N48" si="32">SUM(G42:G47)</f>
        <v>#DIV/0!</v>
      </c>
      <c r="H48" s="339">
        <f t="shared" si="32"/>
        <v>0</v>
      </c>
      <c r="I48" s="338" t="e">
        <f t="shared" si="32"/>
        <v>#REF!</v>
      </c>
      <c r="J48" s="339" t="e">
        <f t="shared" si="32"/>
        <v>#REF!</v>
      </c>
      <c r="K48" s="338" t="e">
        <f t="shared" si="32"/>
        <v>#REF!</v>
      </c>
      <c r="L48" s="339" t="e">
        <f t="shared" si="32"/>
        <v>#REF!</v>
      </c>
      <c r="M48" s="338" t="e">
        <f t="shared" si="32"/>
        <v>#REF!</v>
      </c>
      <c r="N48" s="339" t="e">
        <f t="shared" si="32"/>
        <v>#REF!</v>
      </c>
      <c r="Q48" s="299"/>
    </row>
    <row r="49" spans="1:14" s="140" customFormat="1" ht="12" x14ac:dyDescent="0.25">
      <c r="A49" s="331"/>
      <c r="B49" s="340"/>
      <c r="C49" s="341"/>
      <c r="D49" s="331"/>
      <c r="E49" s="342"/>
      <c r="F49" s="341"/>
      <c r="G49" s="331"/>
      <c r="H49" s="342"/>
      <c r="I49" s="331"/>
      <c r="J49" s="342"/>
      <c r="K49" s="331"/>
      <c r="L49" s="342"/>
      <c r="M49" s="331"/>
      <c r="N49" s="342"/>
    </row>
    <row r="50" spans="1:14" s="140" customFormat="1" ht="12" x14ac:dyDescent="0.25">
      <c r="A50" s="501" t="s">
        <v>231</v>
      </c>
      <c r="B50" s="502"/>
      <c r="C50" s="324"/>
      <c r="D50" s="344" t="e">
        <f>D48+D39</f>
        <v>#DIV/0!</v>
      </c>
      <c r="E50" s="345">
        <f t="shared" ref="E50" si="33">E48+E39</f>
        <v>0</v>
      </c>
      <c r="F50" s="324"/>
      <c r="G50" s="344" t="e">
        <f t="shared" ref="G50:N50" si="34">G48+G39</f>
        <v>#DIV/0!</v>
      </c>
      <c r="H50" s="345">
        <f t="shared" si="34"/>
        <v>0</v>
      </c>
      <c r="I50" s="344" t="e">
        <f t="shared" si="34"/>
        <v>#REF!</v>
      </c>
      <c r="J50" s="345" t="e">
        <f t="shared" si="34"/>
        <v>#REF!</v>
      </c>
      <c r="K50" s="344" t="e">
        <f t="shared" si="34"/>
        <v>#REF!</v>
      </c>
      <c r="L50" s="345" t="e">
        <f t="shared" si="34"/>
        <v>#REF!</v>
      </c>
      <c r="M50" s="344" t="e">
        <f t="shared" si="34"/>
        <v>#REF!</v>
      </c>
      <c r="N50" s="345" t="e">
        <f t="shared" si="34"/>
        <v>#REF!</v>
      </c>
    </row>
    <row r="51" spans="1:14" s="140" customFormat="1" ht="21" customHeight="1" x14ac:dyDescent="0.25">
      <c r="A51" s="316"/>
      <c r="B51" s="317"/>
      <c r="C51" s="316"/>
      <c r="D51" s="318"/>
      <c r="E51" s="318"/>
      <c r="F51" s="316"/>
      <c r="G51" s="318"/>
      <c r="H51" s="318"/>
      <c r="I51" s="318"/>
      <c r="J51" s="318"/>
      <c r="K51" s="318"/>
      <c r="L51" s="318"/>
      <c r="M51" s="318"/>
      <c r="N51" s="318"/>
    </row>
    <row r="52" spans="1:14" s="140" customFormat="1" ht="12" x14ac:dyDescent="0.25">
      <c r="A52" s="346">
        <v>7</v>
      </c>
      <c r="B52" s="347" t="s">
        <v>232</v>
      </c>
      <c r="C52" s="143"/>
      <c r="D52" s="346"/>
      <c r="E52" s="348"/>
      <c r="F52" s="143"/>
      <c r="G52" s="346"/>
      <c r="H52" s="348"/>
      <c r="I52" s="346"/>
      <c r="J52" s="348"/>
      <c r="K52" s="346"/>
      <c r="L52" s="348"/>
      <c r="M52" s="346"/>
      <c r="N52" s="348"/>
    </row>
    <row r="53" spans="1:14" s="140" customFormat="1" ht="12" x14ac:dyDescent="0.25">
      <c r="A53" s="505" t="s">
        <v>233</v>
      </c>
      <c r="B53" s="506"/>
      <c r="C53" s="144"/>
      <c r="D53" s="385"/>
      <c r="E53" s="355" t="e">
        <f>D50</f>
        <v>#DIV/0!</v>
      </c>
      <c r="F53" s="144"/>
      <c r="G53" s="356"/>
      <c r="H53" s="355" t="e">
        <f>G50</f>
        <v>#DIV/0!</v>
      </c>
      <c r="I53" s="356"/>
      <c r="J53" s="355" t="e">
        <f>I50</f>
        <v>#REF!</v>
      </c>
      <c r="K53" s="356"/>
      <c r="L53" s="355" t="e">
        <f>K50</f>
        <v>#REF!</v>
      </c>
      <c r="M53" s="356"/>
      <c r="N53" s="355" t="e">
        <f>M50</f>
        <v>#REF!</v>
      </c>
    </row>
    <row r="54" spans="1:14" s="140" customFormat="1" ht="12" x14ac:dyDescent="0.25">
      <c r="A54" s="497" t="s">
        <v>234</v>
      </c>
      <c r="B54" s="498"/>
      <c r="C54" s="144"/>
      <c r="D54" s="349"/>
      <c r="E54" s="350">
        <f>'FATOR K'!$K$9</f>
        <v>0.2</v>
      </c>
      <c r="F54" s="144"/>
      <c r="G54" s="349"/>
      <c r="H54" s="350">
        <f>'FATOR K'!$K$9</f>
        <v>0.2</v>
      </c>
      <c r="I54" s="349"/>
      <c r="J54" s="350">
        <f>'FATOR K'!$K$9</f>
        <v>0.2</v>
      </c>
      <c r="K54" s="349"/>
      <c r="L54" s="350">
        <f>'FATOR K'!$K$9</f>
        <v>0.2</v>
      </c>
      <c r="M54" s="349"/>
      <c r="N54" s="350">
        <f>'FATOR K'!$K$9</f>
        <v>0.2</v>
      </c>
    </row>
    <row r="55" spans="1:14" s="140" customFormat="1" ht="17.25" customHeight="1" x14ac:dyDescent="0.25">
      <c r="A55" s="497" t="s">
        <v>235</v>
      </c>
      <c r="B55" s="498"/>
      <c r="C55" s="144"/>
      <c r="D55" s="349"/>
      <c r="E55" s="350">
        <f>'FATOR K'!$K$10</f>
        <v>7.8E-2</v>
      </c>
      <c r="F55" s="144"/>
      <c r="G55" s="349"/>
      <c r="H55" s="350">
        <f>'FATOR K'!$K$10</f>
        <v>7.8E-2</v>
      </c>
      <c r="I55" s="349"/>
      <c r="J55" s="350">
        <f>'FATOR K'!$K$10</f>
        <v>7.8E-2</v>
      </c>
      <c r="K55" s="349"/>
      <c r="L55" s="350">
        <f>'FATOR K'!$K$10</f>
        <v>7.8E-2</v>
      </c>
      <c r="M55" s="349"/>
      <c r="N55" s="350">
        <f>'FATOR K'!$K$10</f>
        <v>7.8E-2</v>
      </c>
    </row>
    <row r="56" spans="1:14" s="140" customFormat="1" ht="12" x14ac:dyDescent="0.25">
      <c r="A56" s="497" t="s">
        <v>236</v>
      </c>
      <c r="B56" s="498"/>
      <c r="C56" s="144"/>
      <c r="D56" s="349"/>
      <c r="E56" s="350">
        <f>'FATOR K'!$K$11</f>
        <v>8.0399999999999999E-2</v>
      </c>
      <c r="F56" s="144"/>
      <c r="G56" s="349"/>
      <c r="H56" s="350">
        <f>'FATOR K'!$K$11</f>
        <v>8.0399999999999999E-2</v>
      </c>
      <c r="I56" s="349"/>
      <c r="J56" s="350">
        <f>'FATOR K'!$K$11</f>
        <v>8.0399999999999999E-2</v>
      </c>
      <c r="K56" s="349"/>
      <c r="L56" s="350">
        <f>'FATOR K'!$K$11</f>
        <v>8.0399999999999999E-2</v>
      </c>
      <c r="M56" s="349"/>
      <c r="N56" s="350">
        <f>'FATOR K'!$K$11</f>
        <v>8.0399999999999999E-2</v>
      </c>
    </row>
    <row r="57" spans="1:14" s="140" customFormat="1" ht="27.75" customHeight="1" x14ac:dyDescent="0.25">
      <c r="A57" s="497" t="s">
        <v>237</v>
      </c>
      <c r="B57" s="498"/>
      <c r="C57" s="144"/>
      <c r="D57" s="349"/>
      <c r="E57" s="350">
        <f>'FATOR K'!$K$12</f>
        <v>9.4690749863163656E-2</v>
      </c>
      <c r="F57" s="144"/>
      <c r="G57" s="349"/>
      <c r="H57" s="350">
        <f>'FATOR K'!$K$12</f>
        <v>9.4690749863163656E-2</v>
      </c>
      <c r="I57" s="349"/>
      <c r="J57" s="350">
        <f>'FATOR K'!$K$12</f>
        <v>9.4690749863163656E-2</v>
      </c>
      <c r="K57" s="349"/>
      <c r="L57" s="350">
        <f>'FATOR K'!$K$12</f>
        <v>9.4690749863163656E-2</v>
      </c>
      <c r="M57" s="349"/>
      <c r="N57" s="350">
        <f>'FATOR K'!$K$12</f>
        <v>9.4690749863163656E-2</v>
      </c>
    </row>
    <row r="58" spans="1:14" s="140" customFormat="1" ht="12" x14ac:dyDescent="0.25">
      <c r="A58" s="497" t="s">
        <v>238</v>
      </c>
      <c r="B58" s="498"/>
      <c r="C58" s="144"/>
      <c r="D58" s="351">
        <f>'FATOR K'!$J$13</f>
        <v>8.6499999999999994E-2</v>
      </c>
      <c r="E58" s="350"/>
      <c r="F58" s="144"/>
      <c r="G58" s="351">
        <f>'FATOR K'!$J$13</f>
        <v>8.6499999999999994E-2</v>
      </c>
      <c r="H58" s="350"/>
      <c r="I58" s="351">
        <f>'FATOR K'!$J$13</f>
        <v>8.6499999999999994E-2</v>
      </c>
      <c r="J58" s="350"/>
      <c r="K58" s="351">
        <f>'FATOR K'!$J$13</f>
        <v>8.6499999999999994E-2</v>
      </c>
      <c r="L58" s="350"/>
      <c r="M58" s="351">
        <f>'FATOR K'!$J$13</f>
        <v>8.6499999999999994E-2</v>
      </c>
      <c r="N58" s="350"/>
    </row>
    <row r="59" spans="1:14" s="140" customFormat="1" ht="12" x14ac:dyDescent="0.25">
      <c r="A59" s="497" t="s">
        <v>239</v>
      </c>
      <c r="B59" s="498"/>
      <c r="C59" s="144"/>
      <c r="D59" s="351">
        <f>'FATOR K'!$J$14</f>
        <v>6.4999999999999997E-3</v>
      </c>
      <c r="E59" s="352"/>
      <c r="F59" s="144"/>
      <c r="G59" s="351">
        <f>'FATOR K'!$J$14</f>
        <v>6.4999999999999997E-3</v>
      </c>
      <c r="H59" s="352"/>
      <c r="I59" s="351">
        <f>'FATOR K'!$J$14</f>
        <v>6.4999999999999997E-3</v>
      </c>
      <c r="J59" s="352"/>
      <c r="K59" s="351">
        <f>'FATOR K'!$J$14</f>
        <v>6.4999999999999997E-3</v>
      </c>
      <c r="L59" s="352"/>
      <c r="M59" s="351">
        <f>'FATOR K'!$J$14</f>
        <v>6.4999999999999997E-3</v>
      </c>
      <c r="N59" s="352"/>
    </row>
    <row r="60" spans="1:14" s="140" customFormat="1" ht="12" x14ac:dyDescent="0.25">
      <c r="A60" s="497" t="s">
        <v>240</v>
      </c>
      <c r="B60" s="498"/>
      <c r="C60" s="144"/>
      <c r="D60" s="351">
        <f>'FATOR K'!$J$15</f>
        <v>0.03</v>
      </c>
      <c r="E60" s="352"/>
      <c r="F60" s="144"/>
      <c r="G60" s="351">
        <f>'FATOR K'!$J$15</f>
        <v>0.03</v>
      </c>
      <c r="H60" s="352"/>
      <c r="I60" s="351">
        <f>'FATOR K'!$J$15</f>
        <v>0.03</v>
      </c>
      <c r="J60" s="352"/>
      <c r="K60" s="351">
        <f>'FATOR K'!$J$15</f>
        <v>0.03</v>
      </c>
      <c r="L60" s="352"/>
      <c r="M60" s="351">
        <f>'FATOR K'!$J$15</f>
        <v>0.03</v>
      </c>
      <c r="N60" s="352"/>
    </row>
    <row r="61" spans="1:14" s="140" customFormat="1" ht="12" x14ac:dyDescent="0.25">
      <c r="A61" s="503" t="s">
        <v>241</v>
      </c>
      <c r="B61" s="504"/>
      <c r="C61" s="144"/>
      <c r="D61" s="351">
        <f>'FATOR K'!$J$16</f>
        <v>0.05</v>
      </c>
      <c r="E61" s="352"/>
      <c r="F61" s="144"/>
      <c r="G61" s="351">
        <f>'FATOR K'!$J$16</f>
        <v>0.05</v>
      </c>
      <c r="H61" s="352"/>
      <c r="I61" s="351">
        <f>'FATOR K'!$J$16</f>
        <v>0.05</v>
      </c>
      <c r="J61" s="352"/>
      <c r="K61" s="351">
        <f>'FATOR K'!$J$16</f>
        <v>0.05</v>
      </c>
      <c r="L61" s="352"/>
      <c r="M61" s="351">
        <f>'FATOR K'!$J$16</f>
        <v>0.05</v>
      </c>
      <c r="N61" s="352"/>
    </row>
    <row r="62" spans="1:14" s="140" customFormat="1" ht="11.45" customHeight="1" x14ac:dyDescent="0.25">
      <c r="A62" s="493" t="s">
        <v>242</v>
      </c>
      <c r="B62" s="494"/>
      <c r="C62" s="142"/>
      <c r="D62" s="489" t="e">
        <f>(1+E53+E55)*(1+E56)*(1+E57)</f>
        <v>#DIV/0!</v>
      </c>
      <c r="E62" s="490"/>
      <c r="F62" s="142"/>
      <c r="G62" s="489" t="e">
        <f>(1+H53+H55)*(1+H56)*(1+H57)</f>
        <v>#DIV/0!</v>
      </c>
      <c r="H62" s="490"/>
      <c r="I62" s="489" t="e">
        <f>(1+J53+J55)*(1+J56)*(1+J57)</f>
        <v>#REF!</v>
      </c>
      <c r="J62" s="490"/>
      <c r="K62" s="489" t="e">
        <f>(1+L53+L55)*(1+L56)*(1+L57)</f>
        <v>#REF!</v>
      </c>
      <c r="L62" s="490"/>
      <c r="M62" s="489" t="e">
        <f>(1+N53+N55)*(1+N56)*(1+N57)</f>
        <v>#REF!</v>
      </c>
      <c r="N62" s="490"/>
    </row>
    <row r="63" spans="1:14" s="140" customFormat="1" ht="12" x14ac:dyDescent="0.25">
      <c r="A63" s="142"/>
      <c r="B63" s="353"/>
      <c r="C63" s="142"/>
      <c r="D63" s="143"/>
      <c r="E63" s="143"/>
      <c r="F63" s="142"/>
      <c r="G63" s="143"/>
      <c r="H63" s="143"/>
      <c r="I63" s="143"/>
      <c r="J63" s="143"/>
      <c r="K63" s="143"/>
      <c r="L63" s="143"/>
      <c r="M63" s="143"/>
      <c r="N63" s="143"/>
    </row>
    <row r="64" spans="1:14" s="140" customFormat="1" ht="12.75" customHeight="1" x14ac:dyDescent="0.25">
      <c r="A64" s="527" t="s">
        <v>243</v>
      </c>
      <c r="B64" s="528"/>
      <c r="C64" s="142"/>
      <c r="D64" s="491" t="e">
        <f>ROUND((D62*D8),2)</f>
        <v>#DIV/0!</v>
      </c>
      <c r="E64" s="492"/>
      <c r="F64" s="142"/>
      <c r="G64" s="491" t="e">
        <f>ROUND((G62*G8),2)</f>
        <v>#DIV/0!</v>
      </c>
      <c r="H64" s="492"/>
      <c r="I64" s="491" t="e">
        <f>ROUND((I62*I8),2)</f>
        <v>#REF!</v>
      </c>
      <c r="J64" s="492"/>
      <c r="K64" s="491" t="e">
        <f>ROUND((K62*K8),2)</f>
        <v>#REF!</v>
      </c>
      <c r="L64" s="492"/>
      <c r="M64" s="491" t="e">
        <f>ROUND((M62*M8),2)</f>
        <v>#REF!</v>
      </c>
      <c r="N64" s="492"/>
    </row>
  </sheetData>
  <mergeCells count="62">
    <mergeCell ref="K64:L64"/>
    <mergeCell ref="I6:J6"/>
    <mergeCell ref="G64:H64"/>
    <mergeCell ref="A1:N1"/>
    <mergeCell ref="A64:B64"/>
    <mergeCell ref="G62:H62"/>
    <mergeCell ref="I62:J62"/>
    <mergeCell ref="I7:J7"/>
    <mergeCell ref="K7:L7"/>
    <mergeCell ref="M7:N7"/>
    <mergeCell ref="M64:N64"/>
    <mergeCell ref="K62:L62"/>
    <mergeCell ref="M62:N62"/>
    <mergeCell ref="I64:J64"/>
    <mergeCell ref="G8:H8"/>
    <mergeCell ref="G7:H7"/>
    <mergeCell ref="I8:J8"/>
    <mergeCell ref="M3:N3"/>
    <mergeCell ref="M4:N4"/>
    <mergeCell ref="M5:N5"/>
    <mergeCell ref="M6:N6"/>
    <mergeCell ref="M8:N8"/>
    <mergeCell ref="K3:L3"/>
    <mergeCell ref="K4:L4"/>
    <mergeCell ref="K5:L5"/>
    <mergeCell ref="K6:L6"/>
    <mergeCell ref="K8:L8"/>
    <mergeCell ref="I3:J3"/>
    <mergeCell ref="I4:J4"/>
    <mergeCell ref="I5:J5"/>
    <mergeCell ref="A3:B3"/>
    <mergeCell ref="A7:B7"/>
    <mergeCell ref="G3:H3"/>
    <mergeCell ref="G4:H4"/>
    <mergeCell ref="G5:H5"/>
    <mergeCell ref="G6:H6"/>
    <mergeCell ref="D3:E3"/>
    <mergeCell ref="D4:E4"/>
    <mergeCell ref="D5:E5"/>
    <mergeCell ref="D6:E6"/>
    <mergeCell ref="D7:E7"/>
    <mergeCell ref="A56:B56"/>
    <mergeCell ref="A4:B4"/>
    <mergeCell ref="A5:B5"/>
    <mergeCell ref="A6:B6"/>
    <mergeCell ref="A8:B8"/>
    <mergeCell ref="D8:E8"/>
    <mergeCell ref="D62:E62"/>
    <mergeCell ref="D64:E64"/>
    <mergeCell ref="A62:B62"/>
    <mergeCell ref="A10:B10"/>
    <mergeCell ref="A54:B54"/>
    <mergeCell ref="A55:B55"/>
    <mergeCell ref="A39:B39"/>
    <mergeCell ref="A48:B48"/>
    <mergeCell ref="A50:B50"/>
    <mergeCell ref="A61:B61"/>
    <mergeCell ref="A53:B53"/>
    <mergeCell ref="A57:B57"/>
    <mergeCell ref="A58:B58"/>
    <mergeCell ref="A59:B59"/>
    <mergeCell ref="A60:B60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C3B0-B289-4AF8-BF4E-818D22046BFF}">
  <dimension ref="A1:C34"/>
  <sheetViews>
    <sheetView topLeftCell="A15" workbookViewId="0">
      <selection activeCell="C29" sqref="C29:C30"/>
    </sheetView>
  </sheetViews>
  <sheetFormatPr defaultColWidth="9.140625" defaultRowHeight="15" x14ac:dyDescent="0.25"/>
  <cols>
    <col min="1" max="1" width="8.140625" style="41" bestFit="1" customWidth="1"/>
    <col min="2" max="2" width="69.42578125" style="41" customWidth="1"/>
    <col min="3" max="3" width="13" style="41" customWidth="1"/>
    <col min="4" max="4" width="7.42578125" style="41" customWidth="1"/>
    <col min="5" max="16384" width="9.140625" style="41"/>
  </cols>
  <sheetData>
    <row r="1" spans="1:3" ht="15.75" x14ac:dyDescent="0.25">
      <c r="A1" s="526" t="s">
        <v>159</v>
      </c>
      <c r="B1" s="526"/>
      <c r="C1" s="526"/>
    </row>
    <row r="2" spans="1:3" ht="15.75" x14ac:dyDescent="0.25">
      <c r="A2" s="133"/>
      <c r="B2" s="134"/>
      <c r="C2" s="134"/>
    </row>
    <row r="3" spans="1:3" x14ac:dyDescent="0.25">
      <c r="A3" s="135" t="s">
        <v>244</v>
      </c>
      <c r="B3" s="130" t="s">
        <v>245</v>
      </c>
      <c r="C3" s="130" t="s">
        <v>160</v>
      </c>
    </row>
    <row r="4" spans="1:3" x14ac:dyDescent="0.25">
      <c r="A4" s="136"/>
      <c r="B4" s="128" t="s">
        <v>163</v>
      </c>
      <c r="C4" s="138">
        <f>SUM(C5:C13)</f>
        <v>0</v>
      </c>
    </row>
    <row r="5" spans="1:3" x14ac:dyDescent="0.25">
      <c r="A5" s="118" t="s">
        <v>246</v>
      </c>
      <c r="B5" s="129" t="s">
        <v>165</v>
      </c>
      <c r="C5" s="410"/>
    </row>
    <row r="6" spans="1:3" x14ac:dyDescent="0.25">
      <c r="A6" s="118" t="s">
        <v>247</v>
      </c>
      <c r="B6" s="129" t="s">
        <v>167</v>
      </c>
      <c r="C6" s="410"/>
    </row>
    <row r="7" spans="1:3" x14ac:dyDescent="0.25">
      <c r="A7" s="118" t="s">
        <v>248</v>
      </c>
      <c r="B7" s="129" t="s">
        <v>249</v>
      </c>
      <c r="C7" s="410"/>
    </row>
    <row r="8" spans="1:3" x14ac:dyDescent="0.25">
      <c r="A8" s="118" t="s">
        <v>250</v>
      </c>
      <c r="B8" s="129" t="s">
        <v>171</v>
      </c>
      <c r="C8" s="410"/>
    </row>
    <row r="9" spans="1:3" x14ac:dyDescent="0.25">
      <c r="A9" s="118" t="s">
        <v>251</v>
      </c>
      <c r="B9" s="129" t="s">
        <v>173</v>
      </c>
      <c r="C9" s="410"/>
    </row>
    <row r="10" spans="1:3" x14ac:dyDescent="0.25">
      <c r="A10" s="118" t="s">
        <v>252</v>
      </c>
      <c r="B10" s="129" t="s">
        <v>175</v>
      </c>
      <c r="C10" s="410"/>
    </row>
    <row r="11" spans="1:3" x14ac:dyDescent="0.25">
      <c r="A11" s="118" t="s">
        <v>253</v>
      </c>
      <c r="B11" s="129" t="s">
        <v>177</v>
      </c>
      <c r="C11" s="410"/>
    </row>
    <row r="12" spans="1:3" x14ac:dyDescent="0.25">
      <c r="A12" s="118" t="s">
        <v>254</v>
      </c>
      <c r="B12" s="129" t="s">
        <v>179</v>
      </c>
      <c r="C12" s="410"/>
    </row>
    <row r="13" spans="1:3" x14ac:dyDescent="0.25">
      <c r="A13" s="118" t="s">
        <v>255</v>
      </c>
      <c r="B13" s="129" t="s">
        <v>181</v>
      </c>
      <c r="C13" s="410"/>
    </row>
    <row r="14" spans="1:3" x14ac:dyDescent="0.25">
      <c r="A14" s="136"/>
      <c r="B14" s="128" t="s">
        <v>183</v>
      </c>
      <c r="C14" s="138">
        <f>SUM(C15:C21)</f>
        <v>0</v>
      </c>
    </row>
    <row r="15" spans="1:3" x14ac:dyDescent="0.25">
      <c r="A15" s="137" t="s">
        <v>256</v>
      </c>
      <c r="B15" s="129" t="s">
        <v>185</v>
      </c>
      <c r="C15" s="410"/>
    </row>
    <row r="16" spans="1:3" x14ac:dyDescent="0.25">
      <c r="A16" s="137" t="s">
        <v>257</v>
      </c>
      <c r="B16" s="129" t="s">
        <v>187</v>
      </c>
      <c r="C16" s="410"/>
    </row>
    <row r="17" spans="1:3" x14ac:dyDescent="0.25">
      <c r="A17" s="137" t="s">
        <v>258</v>
      </c>
      <c r="B17" s="129" t="s">
        <v>189</v>
      </c>
      <c r="C17" s="410"/>
    </row>
    <row r="18" spans="1:3" x14ac:dyDescent="0.25">
      <c r="A18" s="137" t="s">
        <v>259</v>
      </c>
      <c r="B18" s="129" t="s">
        <v>191</v>
      </c>
      <c r="C18" s="410"/>
    </row>
    <row r="19" spans="1:3" x14ac:dyDescent="0.25">
      <c r="A19" s="137" t="s">
        <v>260</v>
      </c>
      <c r="B19" s="129" t="s">
        <v>193</v>
      </c>
      <c r="C19" s="410"/>
    </row>
    <row r="20" spans="1:3" x14ac:dyDescent="0.25">
      <c r="A20" s="137" t="s">
        <v>261</v>
      </c>
      <c r="B20" s="129" t="s">
        <v>195</v>
      </c>
      <c r="C20" s="410"/>
    </row>
    <row r="21" spans="1:3" x14ac:dyDescent="0.25">
      <c r="A21" s="137" t="s">
        <v>262</v>
      </c>
      <c r="B21" s="129" t="s">
        <v>197</v>
      </c>
      <c r="C21" s="411"/>
    </row>
    <row r="22" spans="1:3" x14ac:dyDescent="0.25">
      <c r="A22" s="136"/>
      <c r="B22" s="128" t="s">
        <v>199</v>
      </c>
      <c r="C22" s="138">
        <f>SUM(C23:C27)</f>
        <v>0</v>
      </c>
    </row>
    <row r="23" spans="1:3" x14ac:dyDescent="0.25">
      <c r="A23" s="118" t="s">
        <v>263</v>
      </c>
      <c r="B23" s="129" t="s">
        <v>201</v>
      </c>
      <c r="C23" s="410"/>
    </row>
    <row r="24" spans="1:3" x14ac:dyDescent="0.25">
      <c r="A24" s="118" t="s">
        <v>264</v>
      </c>
      <c r="B24" s="129" t="s">
        <v>203</v>
      </c>
      <c r="C24" s="410"/>
    </row>
    <row r="25" spans="1:3" x14ac:dyDescent="0.25">
      <c r="A25" s="118" t="s">
        <v>265</v>
      </c>
      <c r="B25" s="129" t="s">
        <v>205</v>
      </c>
      <c r="C25" s="410"/>
    </row>
    <row r="26" spans="1:3" x14ac:dyDescent="0.25">
      <c r="A26" s="118" t="s">
        <v>266</v>
      </c>
      <c r="B26" s="129" t="s">
        <v>207</v>
      </c>
      <c r="C26" s="410"/>
    </row>
    <row r="27" spans="1:3" x14ac:dyDescent="0.25">
      <c r="A27" s="118" t="s">
        <v>267</v>
      </c>
      <c r="B27" s="129" t="s">
        <v>209</v>
      </c>
      <c r="C27" s="410"/>
    </row>
    <row r="28" spans="1:3" x14ac:dyDescent="0.25">
      <c r="A28" s="136"/>
      <c r="B28" s="128" t="s">
        <v>211</v>
      </c>
      <c r="C28" s="138">
        <f>SUM(C29:C30)</f>
        <v>0</v>
      </c>
    </row>
    <row r="29" spans="1:3" x14ac:dyDescent="0.25">
      <c r="A29" s="118" t="s">
        <v>268</v>
      </c>
      <c r="B29" s="129" t="s">
        <v>213</v>
      </c>
      <c r="C29" s="410"/>
    </row>
    <row r="30" spans="1:3" ht="25.5" x14ac:dyDescent="0.25">
      <c r="A30" s="118" t="s">
        <v>269</v>
      </c>
      <c r="B30" s="42" t="s">
        <v>270</v>
      </c>
      <c r="C30" s="410"/>
    </row>
    <row r="31" spans="1:3" x14ac:dyDescent="0.25">
      <c r="A31" s="531" t="s">
        <v>271</v>
      </c>
      <c r="B31" s="531"/>
      <c r="C31" s="139">
        <f>C4+C14+C22+C28</f>
        <v>0</v>
      </c>
    </row>
    <row r="32" spans="1:3" x14ac:dyDescent="0.25">
      <c r="A32" s="120"/>
      <c r="B32" s="120"/>
      <c r="C32" s="120"/>
    </row>
    <row r="33" spans="1:3" x14ac:dyDescent="0.25">
      <c r="A33" s="532"/>
      <c r="B33" s="533"/>
      <c r="C33" s="534"/>
    </row>
    <row r="34" spans="1:3" x14ac:dyDescent="0.25">
      <c r="A34" s="535"/>
      <c r="B34" s="536"/>
      <c r="C34" s="537"/>
    </row>
  </sheetData>
  <mergeCells count="3">
    <mergeCell ref="A31:B31"/>
    <mergeCell ref="A1:C1"/>
    <mergeCell ref="A33:C34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B7A7-9CAE-4B91-9A44-5F5B8C9B306C}">
  <dimension ref="A1:G86"/>
  <sheetViews>
    <sheetView workbookViewId="0">
      <selection sqref="A1:E1"/>
    </sheetView>
  </sheetViews>
  <sheetFormatPr defaultColWidth="9.140625" defaultRowHeight="12" x14ac:dyDescent="0.25"/>
  <cols>
    <col min="1" max="1" width="34.28515625" style="141" customWidth="1"/>
    <col min="2" max="5" width="40.7109375" style="141" customWidth="1"/>
    <col min="6" max="6" width="9.140625" style="140"/>
    <col min="7" max="7" width="11.42578125" style="140" bestFit="1" customWidth="1"/>
    <col min="8" max="16384" width="9.140625" style="140"/>
  </cols>
  <sheetData>
    <row r="1" spans="1:5" ht="15.75" x14ac:dyDescent="0.25">
      <c r="A1" s="541" t="s">
        <v>274</v>
      </c>
      <c r="B1" s="542"/>
      <c r="C1" s="542"/>
      <c r="D1" s="542"/>
      <c r="E1" s="543"/>
    </row>
    <row r="2" spans="1:5" ht="6.75" customHeight="1" x14ac:dyDescent="0.25"/>
    <row r="3" spans="1:5" ht="12.75" x14ac:dyDescent="0.25">
      <c r="A3" s="544" t="s">
        <v>275</v>
      </c>
      <c r="B3" s="545"/>
      <c r="C3" s="545"/>
      <c r="D3" s="545"/>
      <c r="E3" s="546"/>
    </row>
    <row r="4" spans="1:5" ht="22.5" x14ac:dyDescent="0.25">
      <c r="A4" s="157" t="s">
        <v>272</v>
      </c>
      <c r="B4" s="147" t="s">
        <v>276</v>
      </c>
      <c r="C4" s="147" t="s">
        <v>277</v>
      </c>
      <c r="D4" s="147" t="s">
        <v>278</v>
      </c>
      <c r="E4" s="158" t="s">
        <v>279</v>
      </c>
    </row>
    <row r="5" spans="1:5" x14ac:dyDescent="0.25">
      <c r="A5" s="157" t="s">
        <v>148</v>
      </c>
      <c r="B5" s="147" t="s">
        <v>34</v>
      </c>
      <c r="C5" s="147" t="s">
        <v>36</v>
      </c>
      <c r="D5" s="147" t="s">
        <v>280</v>
      </c>
      <c r="E5" s="158" t="s">
        <v>38</v>
      </c>
    </row>
    <row r="6" spans="1:5" ht="45" x14ac:dyDescent="0.25">
      <c r="A6" s="159" t="s">
        <v>281</v>
      </c>
      <c r="B6" s="148" t="s">
        <v>282</v>
      </c>
      <c r="C6" s="148" t="s">
        <v>283</v>
      </c>
      <c r="D6" s="148" t="s">
        <v>283</v>
      </c>
      <c r="E6" s="160" t="s">
        <v>284</v>
      </c>
    </row>
    <row r="7" spans="1:5" x14ac:dyDescent="0.25">
      <c r="A7" s="159" t="s">
        <v>155</v>
      </c>
      <c r="B7" s="148" t="s">
        <v>64</v>
      </c>
      <c r="C7" s="148" t="s">
        <v>64</v>
      </c>
      <c r="D7" s="148" t="s">
        <v>64</v>
      </c>
      <c r="E7" s="160" t="s">
        <v>64</v>
      </c>
    </row>
    <row r="8" spans="1:5" x14ac:dyDescent="0.25">
      <c r="A8" s="159" t="s">
        <v>151</v>
      </c>
      <c r="B8" s="148">
        <v>1159</v>
      </c>
      <c r="C8" s="148">
        <v>44057</v>
      </c>
      <c r="D8" s="148">
        <v>44057</v>
      </c>
      <c r="E8" s="160">
        <v>11281</v>
      </c>
    </row>
    <row r="9" spans="1:5" x14ac:dyDescent="0.25">
      <c r="A9" s="159" t="s">
        <v>156</v>
      </c>
      <c r="B9" s="268">
        <v>45597</v>
      </c>
      <c r="C9" s="268">
        <v>45597</v>
      </c>
      <c r="D9" s="268">
        <v>45597</v>
      </c>
      <c r="E9" s="269">
        <v>45597</v>
      </c>
    </row>
    <row r="10" spans="1:5" x14ac:dyDescent="0.25">
      <c r="A10" s="161" t="s">
        <v>285</v>
      </c>
      <c r="B10" s="149">
        <v>269408.33</v>
      </c>
      <c r="C10" s="149">
        <v>481947.5</v>
      </c>
      <c r="D10" s="149">
        <f>C10</f>
        <v>481947.5</v>
      </c>
      <c r="E10" s="162">
        <f>9200</f>
        <v>9200</v>
      </c>
    </row>
    <row r="11" spans="1:5" ht="33.75" x14ac:dyDescent="0.25">
      <c r="A11" s="159" t="s">
        <v>286</v>
      </c>
      <c r="B11" s="148" t="s">
        <v>48</v>
      </c>
      <c r="C11" s="102" t="s">
        <v>287</v>
      </c>
      <c r="D11" s="102" t="s">
        <v>287</v>
      </c>
      <c r="E11" s="160"/>
    </row>
    <row r="12" spans="1:5" x14ac:dyDescent="0.25">
      <c r="A12" s="159" t="s">
        <v>155</v>
      </c>
      <c r="B12" s="148" t="s">
        <v>48</v>
      </c>
      <c r="C12" s="148" t="s">
        <v>64</v>
      </c>
      <c r="D12" s="148" t="s">
        <v>64</v>
      </c>
      <c r="E12" s="160"/>
    </row>
    <row r="13" spans="1:5" x14ac:dyDescent="0.25">
      <c r="A13" s="159" t="s">
        <v>151</v>
      </c>
      <c r="B13" s="148" t="s">
        <v>48</v>
      </c>
      <c r="C13" s="148">
        <v>37727</v>
      </c>
      <c r="D13" s="148">
        <v>37727</v>
      </c>
      <c r="E13" s="160"/>
    </row>
    <row r="14" spans="1:5" x14ac:dyDescent="0.25">
      <c r="A14" s="159" t="s">
        <v>156</v>
      </c>
      <c r="B14" s="148" t="s">
        <v>48</v>
      </c>
      <c r="C14" s="268">
        <v>45597</v>
      </c>
      <c r="D14" s="268">
        <v>45323</v>
      </c>
      <c r="E14" s="160"/>
    </row>
    <row r="15" spans="1:5" x14ac:dyDescent="0.25">
      <c r="A15" s="161" t="s">
        <v>285</v>
      </c>
      <c r="B15" s="149" t="s">
        <v>48</v>
      </c>
      <c r="C15" s="150">
        <v>19900</v>
      </c>
      <c r="D15" s="150">
        <f>C15</f>
        <v>19900</v>
      </c>
      <c r="E15" s="162"/>
    </row>
    <row r="16" spans="1:5" ht="33.75" x14ac:dyDescent="0.25">
      <c r="A16" s="159" t="s">
        <v>288</v>
      </c>
      <c r="B16" s="148" t="s">
        <v>48</v>
      </c>
      <c r="C16" s="359" t="s">
        <v>289</v>
      </c>
      <c r="D16" s="359" t="s">
        <v>290</v>
      </c>
      <c r="E16" s="160"/>
    </row>
    <row r="17" spans="1:5" x14ac:dyDescent="0.25">
      <c r="A17" s="159" t="s">
        <v>155</v>
      </c>
      <c r="B17" s="148" t="s">
        <v>48</v>
      </c>
      <c r="C17" s="360" t="s">
        <v>291</v>
      </c>
      <c r="D17" s="360" t="s">
        <v>292</v>
      </c>
      <c r="E17" s="160"/>
    </row>
    <row r="18" spans="1:5" x14ac:dyDescent="0.25">
      <c r="A18" s="159" t="s">
        <v>151</v>
      </c>
      <c r="B18" s="148" t="s">
        <v>48</v>
      </c>
      <c r="C18" s="360" t="s">
        <v>48</v>
      </c>
      <c r="D18" s="360">
        <v>35001189</v>
      </c>
      <c r="E18" s="160"/>
    </row>
    <row r="19" spans="1:5" x14ac:dyDescent="0.25">
      <c r="A19" s="159" t="s">
        <v>156</v>
      </c>
      <c r="B19" s="148" t="s">
        <v>48</v>
      </c>
      <c r="C19" s="361">
        <v>45261</v>
      </c>
      <c r="D19" s="361">
        <v>45261</v>
      </c>
      <c r="E19" s="160"/>
    </row>
    <row r="20" spans="1:5" x14ac:dyDescent="0.25">
      <c r="A20" s="161" t="s">
        <v>285</v>
      </c>
      <c r="B20" s="149" t="s">
        <v>48</v>
      </c>
      <c r="C20" s="149">
        <v>27478.39</v>
      </c>
      <c r="D20" s="149">
        <f>C20</f>
        <v>27478.39</v>
      </c>
      <c r="E20" s="162"/>
    </row>
    <row r="21" spans="1:5" ht="56.25" x14ac:dyDescent="0.25">
      <c r="A21" s="159" t="s">
        <v>293</v>
      </c>
      <c r="B21" s="148" t="s">
        <v>48</v>
      </c>
      <c r="C21" s="148"/>
      <c r="D21" s="102" t="s">
        <v>294</v>
      </c>
      <c r="E21" s="160"/>
    </row>
    <row r="22" spans="1:5" x14ac:dyDescent="0.25">
      <c r="A22" s="159" t="s">
        <v>155</v>
      </c>
      <c r="B22" s="148" t="s">
        <v>48</v>
      </c>
      <c r="C22" s="148"/>
      <c r="D22" s="148" t="s">
        <v>64</v>
      </c>
      <c r="E22" s="160"/>
    </row>
    <row r="23" spans="1:5" x14ac:dyDescent="0.25">
      <c r="A23" s="159" t="s">
        <v>151</v>
      </c>
      <c r="B23" s="148" t="s">
        <v>48</v>
      </c>
      <c r="C23" s="148"/>
      <c r="D23" s="148">
        <v>3363</v>
      </c>
      <c r="E23" s="160"/>
    </row>
    <row r="24" spans="1:5" x14ac:dyDescent="0.25">
      <c r="A24" s="159" t="s">
        <v>156</v>
      </c>
      <c r="B24" s="148" t="s">
        <v>48</v>
      </c>
      <c r="C24" s="148"/>
      <c r="D24" s="268">
        <v>45597</v>
      </c>
      <c r="E24" s="160"/>
    </row>
    <row r="25" spans="1:5" x14ac:dyDescent="0.25">
      <c r="A25" s="161" t="s">
        <v>285</v>
      </c>
      <c r="B25" s="149" t="s">
        <v>48</v>
      </c>
      <c r="C25" s="149"/>
      <c r="D25" s="149">
        <v>144875</v>
      </c>
      <c r="E25" s="162"/>
    </row>
    <row r="26" spans="1:5" ht="12.75" x14ac:dyDescent="0.25">
      <c r="A26" s="45" t="s">
        <v>295</v>
      </c>
      <c r="B26" s="163">
        <f>SUM(B10,B15,B20,B25)</f>
        <v>269408.33</v>
      </c>
      <c r="C26" s="163">
        <f>SUM(C10,C15,C20,C25)</f>
        <v>529325.89</v>
      </c>
      <c r="D26" s="163">
        <f t="shared" ref="D26:E26" si="0">SUM(D10,D15,D20,D25)</f>
        <v>674200.89</v>
      </c>
      <c r="E26" s="164">
        <f t="shared" si="0"/>
        <v>9200</v>
      </c>
    </row>
    <row r="27" spans="1:5" ht="6.75" customHeight="1" x14ac:dyDescent="0.25"/>
    <row r="28" spans="1:5" ht="12.75" x14ac:dyDescent="0.25">
      <c r="A28" s="547" t="s">
        <v>296</v>
      </c>
      <c r="B28" s="548"/>
      <c r="C28" s="548"/>
      <c r="D28" s="548"/>
      <c r="E28" s="549"/>
    </row>
    <row r="29" spans="1:5" ht="24" x14ac:dyDescent="0.25">
      <c r="A29" s="165" t="s">
        <v>272</v>
      </c>
      <c r="B29" s="146" t="str">
        <f>B4</f>
        <v>Caminhonete 4x4 Cabine Dupla</v>
      </c>
      <c r="C29" s="146" t="str">
        <f t="shared" ref="C29:E29" si="1">C4</f>
        <v>Caminhão Toco com Cabine Suplementar</v>
      </c>
      <c r="D29" s="146" t="str">
        <f t="shared" si="1"/>
        <v>Caminhão Toco com Cabine Suplementar equipado com Guindauto</v>
      </c>
      <c r="E29" s="166" t="str">
        <f t="shared" si="1"/>
        <v>Compactador de Solos</v>
      </c>
    </row>
    <row r="30" spans="1:5" x14ac:dyDescent="0.25">
      <c r="A30" s="179" t="s">
        <v>297</v>
      </c>
      <c r="B30" s="145" t="s">
        <v>298</v>
      </c>
      <c r="C30" s="145" t="s">
        <v>298</v>
      </c>
      <c r="D30" s="145" t="s">
        <v>298</v>
      </c>
      <c r="E30" s="167" t="s">
        <v>298</v>
      </c>
    </row>
    <row r="31" spans="1:5" x14ac:dyDescent="0.25">
      <c r="A31" s="168" t="s">
        <v>299</v>
      </c>
      <c r="B31" s="151">
        <f>B26</f>
        <v>269408.33</v>
      </c>
      <c r="C31" s="151">
        <f t="shared" ref="C31:E31" si="2">C26</f>
        <v>529325.89</v>
      </c>
      <c r="D31" s="151">
        <f t="shared" si="2"/>
        <v>674200.89</v>
      </c>
      <c r="E31" s="169">
        <f t="shared" si="2"/>
        <v>9200</v>
      </c>
    </row>
    <row r="32" spans="1:5" x14ac:dyDescent="0.25">
      <c r="A32" s="168" t="s">
        <v>300</v>
      </c>
      <c r="B32" s="145">
        <v>60</v>
      </c>
      <c r="C32" s="145">
        <v>60</v>
      </c>
      <c r="D32" s="145">
        <v>60</v>
      </c>
      <c r="E32" s="167">
        <v>60</v>
      </c>
    </row>
    <row r="33" spans="1:5" x14ac:dyDescent="0.25">
      <c r="A33" s="168" t="s">
        <v>301</v>
      </c>
      <c r="B33" s="152">
        <v>0.01</v>
      </c>
      <c r="C33" s="152">
        <v>0.01</v>
      </c>
      <c r="D33" s="152">
        <v>0.01</v>
      </c>
      <c r="E33" s="170">
        <v>0.01</v>
      </c>
    </row>
    <row r="34" spans="1:5" x14ac:dyDescent="0.25">
      <c r="A34" s="168" t="s">
        <v>302</v>
      </c>
      <c r="B34" s="153">
        <f>B35*12</f>
        <v>71914.080000000002</v>
      </c>
      <c r="C34" s="153">
        <f t="shared" ref="C34:E34" si="3">C35*12</f>
        <v>141294.72</v>
      </c>
      <c r="D34" s="153">
        <f t="shared" si="3"/>
        <v>179966.76</v>
      </c>
      <c r="E34" s="171">
        <f t="shared" si="3"/>
        <v>2455.8000000000002</v>
      </c>
    </row>
    <row r="35" spans="1:5" x14ac:dyDescent="0.25">
      <c r="A35" s="172" t="s">
        <v>303</v>
      </c>
      <c r="B35" s="173">
        <f>-ROUND((PMT(B33,B32,B31)),2)</f>
        <v>5992.84</v>
      </c>
      <c r="C35" s="173">
        <f>-ROUND((PMT(C33,C32,C31)),2)</f>
        <v>11774.56</v>
      </c>
      <c r="D35" s="173">
        <f>-ROUND((PMT(D33,D32,D31)),2)</f>
        <v>14997.23</v>
      </c>
      <c r="E35" s="305">
        <f>-ROUND((PMT(E33,E32,E31)),2)</f>
        <v>204.65</v>
      </c>
    </row>
    <row r="36" spans="1:5" x14ac:dyDescent="0.25">
      <c r="A36" s="497" t="s">
        <v>304</v>
      </c>
      <c r="B36" s="469"/>
      <c r="C36" s="469"/>
      <c r="D36" s="469"/>
      <c r="E36" s="498"/>
    </row>
    <row r="37" spans="1:5" x14ac:dyDescent="0.25">
      <c r="A37" s="306"/>
      <c r="E37" s="307"/>
    </row>
    <row r="38" spans="1:5" ht="12.75" x14ac:dyDescent="0.25">
      <c r="A38" s="550" t="s">
        <v>305</v>
      </c>
      <c r="B38" s="551"/>
      <c r="C38" s="551"/>
      <c r="D38" s="551"/>
      <c r="E38" s="552"/>
    </row>
    <row r="39" spans="1:5" x14ac:dyDescent="0.25">
      <c r="A39" s="538" t="s">
        <v>306</v>
      </c>
      <c r="B39" s="539"/>
      <c r="C39" s="539"/>
      <c r="D39" s="539"/>
      <c r="E39" s="540"/>
    </row>
    <row r="40" spans="1:5" ht="15" customHeight="1" x14ac:dyDescent="0.25">
      <c r="A40" s="553" t="s">
        <v>307</v>
      </c>
      <c r="B40" s="554"/>
      <c r="C40" s="555" t="s">
        <v>308</v>
      </c>
      <c r="D40" s="555"/>
      <c r="E40" s="556"/>
    </row>
    <row r="41" spans="1:5" ht="15" customHeight="1" x14ac:dyDescent="0.25">
      <c r="A41" s="553" t="s">
        <v>309</v>
      </c>
      <c r="B41" s="554"/>
      <c r="C41" s="554" t="s">
        <v>310</v>
      </c>
      <c r="D41" s="554"/>
      <c r="E41" s="557"/>
    </row>
    <row r="42" spans="1:5" ht="15" customHeight="1" x14ac:dyDescent="0.25">
      <c r="A42" s="553" t="s">
        <v>311</v>
      </c>
      <c r="B42" s="554"/>
      <c r="C42" s="554" t="s">
        <v>312</v>
      </c>
      <c r="D42" s="554"/>
      <c r="E42" s="557"/>
    </row>
    <row r="43" spans="1:5" ht="15" customHeight="1" x14ac:dyDescent="0.25">
      <c r="A43" s="553" t="s">
        <v>313</v>
      </c>
      <c r="B43" s="554"/>
      <c r="C43" s="555" t="s">
        <v>314</v>
      </c>
      <c r="D43" s="555"/>
      <c r="E43" s="556"/>
    </row>
    <row r="44" spans="1:5" ht="15" customHeight="1" x14ac:dyDescent="0.25">
      <c r="A44" s="553" t="s">
        <v>315</v>
      </c>
      <c r="B44" s="554"/>
      <c r="C44" s="554" t="s">
        <v>316</v>
      </c>
      <c r="D44" s="554"/>
      <c r="E44" s="557"/>
    </row>
    <row r="45" spans="1:5" ht="15" customHeight="1" x14ac:dyDescent="0.25">
      <c r="A45" s="553" t="s">
        <v>317</v>
      </c>
      <c r="B45" s="554"/>
      <c r="C45" s="555" t="s">
        <v>318</v>
      </c>
      <c r="D45" s="555"/>
      <c r="E45" s="556"/>
    </row>
    <row r="46" spans="1:5" ht="15" customHeight="1" x14ac:dyDescent="0.25">
      <c r="A46" s="553" t="s">
        <v>319</v>
      </c>
      <c r="B46" s="554"/>
      <c r="C46" s="555" t="s">
        <v>320</v>
      </c>
      <c r="D46" s="555"/>
      <c r="E46" s="556"/>
    </row>
    <row r="47" spans="1:5" ht="15" customHeight="1" x14ac:dyDescent="0.25">
      <c r="A47" s="553" t="s">
        <v>12</v>
      </c>
      <c r="B47" s="554"/>
      <c r="C47" s="554" t="s">
        <v>321</v>
      </c>
      <c r="D47" s="554"/>
      <c r="E47" s="557"/>
    </row>
    <row r="48" spans="1:5" ht="12.75" x14ac:dyDescent="0.25">
      <c r="A48" s="174"/>
      <c r="B48" s="304"/>
      <c r="C48" s="304"/>
      <c r="D48" s="304"/>
      <c r="E48" s="175"/>
    </row>
    <row r="49" spans="1:5" ht="24" x14ac:dyDescent="0.25">
      <c r="A49" s="176" t="s">
        <v>272</v>
      </c>
      <c r="B49" s="154" t="str">
        <f>B29</f>
        <v>Caminhonete 4x4 Cabine Dupla</v>
      </c>
      <c r="C49" s="154" t="str">
        <f>C29</f>
        <v>Caminhão Toco com Cabine Suplementar</v>
      </c>
      <c r="D49" s="154" t="str">
        <f>D29</f>
        <v>Caminhão Toco com Cabine Suplementar equipado com Guindauto</v>
      </c>
      <c r="E49" s="177" t="str">
        <f>E29</f>
        <v>Compactador de Solos</v>
      </c>
    </row>
    <row r="50" spans="1:5" x14ac:dyDescent="0.25">
      <c r="A50" s="180" t="s">
        <v>322</v>
      </c>
      <c r="B50" s="145">
        <v>5</v>
      </c>
      <c r="C50" s="145">
        <v>7</v>
      </c>
      <c r="D50" s="145">
        <v>7</v>
      </c>
      <c r="E50" s="167">
        <v>6</v>
      </c>
    </row>
    <row r="51" spans="1:5" x14ac:dyDescent="0.25">
      <c r="A51" s="180" t="s">
        <v>323</v>
      </c>
      <c r="B51" s="145">
        <v>2000</v>
      </c>
      <c r="C51" s="145">
        <v>2000</v>
      </c>
      <c r="D51" s="145">
        <v>2000</v>
      </c>
      <c r="E51" s="167">
        <v>2000</v>
      </c>
    </row>
    <row r="52" spans="1:5" x14ac:dyDescent="0.25">
      <c r="A52" s="180" t="s">
        <v>324</v>
      </c>
      <c r="B52" s="277">
        <v>0.4</v>
      </c>
      <c r="C52" s="277">
        <v>0.4</v>
      </c>
      <c r="D52" s="277">
        <v>0.4</v>
      </c>
      <c r="E52" s="278">
        <v>0.2</v>
      </c>
    </row>
    <row r="53" spans="1:5" x14ac:dyDescent="0.25">
      <c r="A53" s="180" t="s">
        <v>325</v>
      </c>
      <c r="B53" s="309">
        <v>0.6</v>
      </c>
      <c r="C53" s="309">
        <v>0.9</v>
      </c>
      <c r="D53" s="309">
        <f>0.9</f>
        <v>0.9</v>
      </c>
      <c r="E53" s="310">
        <v>0.8</v>
      </c>
    </row>
    <row r="54" spans="1:5" x14ac:dyDescent="0.25">
      <c r="A54" s="180" t="s">
        <v>326</v>
      </c>
      <c r="B54" s="309">
        <v>0.05</v>
      </c>
      <c r="C54" s="309">
        <v>0.19</v>
      </c>
      <c r="D54" s="309">
        <v>0.19</v>
      </c>
      <c r="E54" s="310">
        <v>0.35</v>
      </c>
    </row>
    <row r="55" spans="1:5" x14ac:dyDescent="0.25">
      <c r="A55" s="180" t="s">
        <v>327</v>
      </c>
      <c r="B55" s="309">
        <f>B54*0.1</f>
        <v>5.000000000000001E-3</v>
      </c>
      <c r="C55" s="309">
        <f t="shared" ref="C55:D55" si="4">C54*0.1</f>
        <v>1.9000000000000003E-2</v>
      </c>
      <c r="D55" s="309">
        <f t="shared" si="4"/>
        <v>1.9000000000000003E-2</v>
      </c>
      <c r="E55" s="310" t="s">
        <v>48</v>
      </c>
    </row>
    <row r="56" spans="1:5" x14ac:dyDescent="0.25">
      <c r="A56" s="180" t="s">
        <v>155</v>
      </c>
      <c r="B56" s="145" t="s">
        <v>119</v>
      </c>
      <c r="C56" s="145" t="s">
        <v>119</v>
      </c>
      <c r="D56" s="145" t="s">
        <v>119</v>
      </c>
      <c r="E56" s="167" t="s">
        <v>119</v>
      </c>
    </row>
    <row r="57" spans="1:5" x14ac:dyDescent="0.25">
      <c r="A57" s="180" t="s">
        <v>151</v>
      </c>
      <c r="B57" s="145" t="s">
        <v>121</v>
      </c>
      <c r="C57" s="145" t="s">
        <v>328</v>
      </c>
      <c r="D57" s="145" t="s">
        <v>328</v>
      </c>
      <c r="E57" s="167" t="s">
        <v>329</v>
      </c>
    </row>
    <row r="58" spans="1:5" x14ac:dyDescent="0.25">
      <c r="A58" s="180" t="s">
        <v>156</v>
      </c>
      <c r="B58" s="276">
        <v>45597</v>
      </c>
      <c r="C58" s="276">
        <v>45597</v>
      </c>
      <c r="D58" s="276">
        <v>45597</v>
      </c>
      <c r="E58" s="276">
        <v>45597</v>
      </c>
    </row>
    <row r="59" spans="1:5" x14ac:dyDescent="0.25">
      <c r="A59" s="283" t="s">
        <v>330</v>
      </c>
      <c r="B59" s="151">
        <f>(B50+1)*B26/(2*B50)</f>
        <v>161644.99799999999</v>
      </c>
      <c r="C59" s="151">
        <f>(C50+1)*C26/(2*C50)</f>
        <v>302471.93714285718</v>
      </c>
      <c r="D59" s="151">
        <f>(D50+1)*D26/(2*D50)</f>
        <v>385257.65142857144</v>
      </c>
      <c r="E59" s="169">
        <f>(E50+1)*E26/(2*E50)</f>
        <v>5366.666666666667</v>
      </c>
    </row>
    <row r="60" spans="1:5" x14ac:dyDescent="0.25">
      <c r="A60" s="180" t="s">
        <v>307</v>
      </c>
      <c r="B60" s="151">
        <f>(B26-B52)/(B50*B51*1.25)</f>
        <v>21.552634399999999</v>
      </c>
      <c r="C60" s="151">
        <f>(C26-C52)/(C50*C51*1.25)</f>
        <v>30.247170857142855</v>
      </c>
      <c r="D60" s="151">
        <f>(D26-D52)/(D50*D51*1.25)</f>
        <v>38.525742285714287</v>
      </c>
      <c r="E60" s="169">
        <f>(E26-E52)/(E50*E51*1.25)</f>
        <v>0.61331999999999998</v>
      </c>
    </row>
    <row r="61" spans="1:5" x14ac:dyDescent="0.25">
      <c r="A61" s="283" t="s">
        <v>309</v>
      </c>
      <c r="B61" s="151">
        <f>(B59*3.1501%)/(B51*1.25)</f>
        <v>2.0367916327991997</v>
      </c>
      <c r="C61" s="151">
        <f>(C59*3.1501%)/(C51*1.25)</f>
        <v>3.8112673967748574</v>
      </c>
      <c r="D61" s="151">
        <f>(D59*3.1501%)/(D51*1.25)</f>
        <v>4.8544005110605717</v>
      </c>
      <c r="E61" s="169">
        <f>(E59*3.1501%)/(E51*1.25)</f>
        <v>6.7622146666666674E-2</v>
      </c>
    </row>
    <row r="62" spans="1:5" x14ac:dyDescent="0.25">
      <c r="A62" s="283" t="s">
        <v>311</v>
      </c>
      <c r="B62" s="151">
        <f>(B50+1)*B26*0.025/(2*B50*B51*1.25)</f>
        <v>1.6164499800000003</v>
      </c>
      <c r="C62" s="151">
        <f>(C50+1)*C26*0.025/(2*C50*C51*1.25)</f>
        <v>3.0247193714285721</v>
      </c>
      <c r="D62" s="151">
        <f>(D50+1)*D26*0.025/(2*D50*D51*1.25)</f>
        <v>3.8525765142857149</v>
      </c>
      <c r="E62" s="169">
        <f>(E50+1)*E26*0.025/(2*E50*E51*1.25)</f>
        <v>5.3666666666666668E-2</v>
      </c>
    </row>
    <row r="63" spans="1:5" x14ac:dyDescent="0.25">
      <c r="A63" s="283" t="s">
        <v>313</v>
      </c>
      <c r="B63" s="151">
        <f>(B26*B53)/(B51*B50)</f>
        <v>16.164499799999998</v>
      </c>
      <c r="C63" s="151">
        <f>(C26*C53)/(C51*C50)</f>
        <v>34.028092928571432</v>
      </c>
      <c r="D63" s="151">
        <f>(D26*D53)/(D51*D50)</f>
        <v>43.341485785714283</v>
      </c>
      <c r="E63" s="169">
        <f>(E26*E53)/(E51*E50)</f>
        <v>0.61333333333333329</v>
      </c>
    </row>
    <row r="64" spans="1:5" ht="24" x14ac:dyDescent="0.25">
      <c r="A64" s="180" t="s">
        <v>331</v>
      </c>
      <c r="B64" s="151" t="e">
        <f>(160/1.3587)*B55*#REF!</f>
        <v>#REF!</v>
      </c>
      <c r="C64" s="151" t="e">
        <f>(175/1.3587)*C55*#REF!</f>
        <v>#REF!</v>
      </c>
      <c r="D64" s="151" t="e">
        <f>(175/1.3587)*D55*#REF!</f>
        <v>#REF!</v>
      </c>
      <c r="E64" s="169" t="e">
        <f>2.24*E54*#REF!</f>
        <v>#REF!</v>
      </c>
    </row>
    <row r="65" spans="1:7" x14ac:dyDescent="0.25">
      <c r="A65" s="180" t="s">
        <v>317</v>
      </c>
      <c r="B65" s="151" t="e">
        <f>B60+B61+B62+B63+B64</f>
        <v>#REF!</v>
      </c>
      <c r="C65" s="151" t="e">
        <f>C60+C61+C62+C63+C64</f>
        <v>#REF!</v>
      </c>
      <c r="D65" s="151" t="e">
        <f>D60+D61+D62+D63+D64</f>
        <v>#REF!</v>
      </c>
      <c r="E65" s="169" t="e">
        <f>E60+E61+E62+E63+E64</f>
        <v>#REF!</v>
      </c>
    </row>
    <row r="66" spans="1:7" x14ac:dyDescent="0.25">
      <c r="A66" s="180" t="s">
        <v>319</v>
      </c>
      <c r="B66" s="151">
        <f>B60+B61+B62</f>
        <v>25.205876012799198</v>
      </c>
      <c r="C66" s="151">
        <f>C60+C61+C62</f>
        <v>37.083157625346288</v>
      </c>
      <c r="D66" s="151">
        <f>D60+D61+D62</f>
        <v>47.232719311060578</v>
      </c>
      <c r="E66" s="169">
        <f>E60+E61+E62</f>
        <v>0.73460881333333328</v>
      </c>
    </row>
    <row r="67" spans="1:7" ht="12.75" x14ac:dyDescent="0.25">
      <c r="A67" s="181" t="s">
        <v>12</v>
      </c>
      <c r="B67" s="163" t="e">
        <f>ROUND((B65*166.66+B66*33.33),2)</f>
        <v>#REF!</v>
      </c>
      <c r="C67" s="163" t="e">
        <f>ROUND((C65*166.66+C66*33.33),2)</f>
        <v>#REF!</v>
      </c>
      <c r="D67" s="163" t="e">
        <f>ROUND((D65*166.66+D66*33.33),2)</f>
        <v>#REF!</v>
      </c>
      <c r="E67" s="164" t="e">
        <f>ROUND((E65*166.66+E66*33.33),2)</f>
        <v>#REF!</v>
      </c>
    </row>
    <row r="68" spans="1:7" ht="38.25" customHeight="1" x14ac:dyDescent="0.25">
      <c r="A68" s="469" t="s">
        <v>332</v>
      </c>
      <c r="B68" s="469"/>
      <c r="C68" s="469"/>
      <c r="D68" s="469"/>
      <c r="E68" s="469"/>
    </row>
    <row r="70" spans="1:7" ht="12.75" x14ac:dyDescent="0.25">
      <c r="A70" s="547" t="s">
        <v>333</v>
      </c>
      <c r="B70" s="548"/>
      <c r="C70" s="548"/>
      <c r="D70" s="548"/>
      <c r="E70" s="549"/>
    </row>
    <row r="71" spans="1:7" ht="25.5" x14ac:dyDescent="0.25">
      <c r="A71" s="178" t="s">
        <v>272</v>
      </c>
      <c r="B71" s="156" t="str">
        <f>B49</f>
        <v>Caminhonete 4x4 Cabine Dupla</v>
      </c>
      <c r="C71" s="156" t="str">
        <f t="shared" ref="C71:D71" si="5">C49</f>
        <v>Caminhão Toco com Cabine Suplementar</v>
      </c>
      <c r="D71" s="156" t="str">
        <f t="shared" si="5"/>
        <v>Caminhão Toco com Cabine Suplementar equipado com Guindauto</v>
      </c>
      <c r="E71" s="132" t="str">
        <f>E49</f>
        <v>Compactador de Solos</v>
      </c>
    </row>
    <row r="72" spans="1:7" x14ac:dyDescent="0.25">
      <c r="A72" s="180" t="s">
        <v>334</v>
      </c>
      <c r="B72" s="153">
        <f>B35</f>
        <v>5992.84</v>
      </c>
      <c r="C72" s="364">
        <f>C35</f>
        <v>11774.56</v>
      </c>
      <c r="D72" s="364">
        <f>D35</f>
        <v>14997.23</v>
      </c>
      <c r="E72" s="171">
        <f>E35</f>
        <v>204.65</v>
      </c>
    </row>
    <row r="73" spans="1:7" x14ac:dyDescent="0.25">
      <c r="A73" s="180" t="s">
        <v>335</v>
      </c>
      <c r="B73" s="151" t="e">
        <f>B67</f>
        <v>#REF!</v>
      </c>
      <c r="C73" s="365" t="e">
        <f>C67</f>
        <v>#REF!</v>
      </c>
      <c r="D73" s="365" t="e">
        <f t="shared" ref="D73" si="6">D67</f>
        <v>#REF!</v>
      </c>
      <c r="E73" s="169" t="e">
        <f>E67</f>
        <v>#REF!</v>
      </c>
      <c r="G73" s="357"/>
    </row>
    <row r="74" spans="1:7" x14ac:dyDescent="0.25">
      <c r="A74" s="180" t="s">
        <v>336</v>
      </c>
      <c r="B74" s="151">
        <v>6415.17</v>
      </c>
      <c r="C74" s="151">
        <v>10115.48</v>
      </c>
      <c r="D74" s="151">
        <v>17077.53</v>
      </c>
      <c r="E74" s="169">
        <v>212.53</v>
      </c>
    </row>
    <row r="75" spans="1:7" x14ac:dyDescent="0.25">
      <c r="A75" s="180" t="s">
        <v>337</v>
      </c>
      <c r="B75" s="151">
        <v>6335.02</v>
      </c>
      <c r="C75" s="151">
        <v>9989.1</v>
      </c>
      <c r="D75" s="151">
        <v>17152.669999999998</v>
      </c>
      <c r="E75" s="169">
        <v>215.22</v>
      </c>
    </row>
    <row r="76" spans="1:7" ht="15" x14ac:dyDescent="0.25">
      <c r="A76" s="363" t="s">
        <v>338</v>
      </c>
      <c r="B76" s="151" t="s">
        <v>339</v>
      </c>
      <c r="C76" s="151">
        <v>6872.96</v>
      </c>
      <c r="D76" s="151">
        <v>17077.900000000001</v>
      </c>
      <c r="E76" s="169" t="s">
        <v>339</v>
      </c>
    </row>
    <row r="77" spans="1:7" x14ac:dyDescent="0.25">
      <c r="A77" s="302" t="s">
        <v>340</v>
      </c>
      <c r="B77" s="303" t="e">
        <f>ROUND((AVERAGE(B72:B75)),2)</f>
        <v>#REF!</v>
      </c>
      <c r="C77" s="303" t="e">
        <f>ROUND((AVERAGE(C72:C76)),2)</f>
        <v>#REF!</v>
      </c>
      <c r="D77" s="303" t="e">
        <f>ROUND((AVERAGE(D72:D76)),2)</f>
        <v>#REF!</v>
      </c>
      <c r="E77" s="362">
        <f>ROUND((AVERAGE(E72,E75,E74)),2)</f>
        <v>210.8</v>
      </c>
    </row>
    <row r="78" spans="1:7" x14ac:dyDescent="0.25">
      <c r="A78" s="180" t="s">
        <v>273</v>
      </c>
      <c r="B78" s="279">
        <f>'FATOR K'!K21</f>
        <v>1.18</v>
      </c>
      <c r="C78" s="279">
        <f>'FATOR K'!K21</f>
        <v>1.18</v>
      </c>
      <c r="D78" s="279">
        <f>'FATOR K'!K21</f>
        <v>1.18</v>
      </c>
      <c r="E78" s="280">
        <f>'FATOR K'!K21</f>
        <v>1.18</v>
      </c>
      <c r="G78" s="308"/>
    </row>
    <row r="79" spans="1:7" ht="12.75" x14ac:dyDescent="0.25">
      <c r="A79" s="181" t="s">
        <v>243</v>
      </c>
      <c r="B79" s="163" t="e">
        <f>B77*B78</f>
        <v>#REF!</v>
      </c>
      <c r="C79" s="163" t="e">
        <f>C77*C78</f>
        <v>#REF!</v>
      </c>
      <c r="D79" s="163" t="e">
        <f>D77*D78</f>
        <v>#REF!</v>
      </c>
      <c r="E79" s="164">
        <f>E77*E78</f>
        <v>248.744</v>
      </c>
    </row>
    <row r="80" spans="1:7" x14ac:dyDescent="0.25">
      <c r="A80" s="559" t="s">
        <v>341</v>
      </c>
      <c r="B80" s="559"/>
      <c r="C80" s="559"/>
      <c r="D80" s="559"/>
      <c r="E80" s="559"/>
    </row>
    <row r="81" spans="1:5" x14ac:dyDescent="0.25">
      <c r="A81" s="560" t="s">
        <v>342</v>
      </c>
      <c r="B81" s="560"/>
      <c r="C81" s="560"/>
      <c r="D81" s="560"/>
      <c r="E81" s="560"/>
    </row>
    <row r="83" spans="1:5" x14ac:dyDescent="0.25">
      <c r="A83" s="558" t="s">
        <v>343</v>
      </c>
      <c r="B83" s="558"/>
      <c r="C83" s="558"/>
      <c r="D83" s="558"/>
      <c r="E83" s="558"/>
    </row>
    <row r="84" spans="1:5" ht="12" customHeight="1" x14ac:dyDescent="0.25">
      <c r="A84" s="558" t="s">
        <v>344</v>
      </c>
      <c r="B84" s="558"/>
      <c r="C84" s="558"/>
      <c r="D84" s="558"/>
      <c r="E84" s="558"/>
    </row>
    <row r="85" spans="1:5" x14ac:dyDescent="0.25">
      <c r="A85" s="558" t="s">
        <v>345</v>
      </c>
      <c r="B85" s="558"/>
      <c r="C85" s="558"/>
      <c r="D85" s="558"/>
      <c r="E85" s="558"/>
    </row>
    <row r="86" spans="1:5" x14ac:dyDescent="0.25">
      <c r="A86" s="558" t="s">
        <v>346</v>
      </c>
      <c r="B86" s="558"/>
      <c r="C86" s="558"/>
      <c r="D86" s="558"/>
      <c r="E86" s="558"/>
    </row>
  </sheetData>
  <mergeCells count="30">
    <mergeCell ref="A86:E86"/>
    <mergeCell ref="A46:B46"/>
    <mergeCell ref="C46:E46"/>
    <mergeCell ref="A47:B47"/>
    <mergeCell ref="C47:E47"/>
    <mergeCell ref="A68:E68"/>
    <mergeCell ref="A70:E70"/>
    <mergeCell ref="A80:E80"/>
    <mergeCell ref="A81:E81"/>
    <mergeCell ref="A83:E83"/>
    <mergeCell ref="A84:E84"/>
    <mergeCell ref="A85:E85"/>
    <mergeCell ref="A43:B43"/>
    <mergeCell ref="C43:E43"/>
    <mergeCell ref="A44:B44"/>
    <mergeCell ref="C44:E44"/>
    <mergeCell ref="A45:B45"/>
    <mergeCell ref="C45:E45"/>
    <mergeCell ref="A40:B40"/>
    <mergeCell ref="C40:E40"/>
    <mergeCell ref="A41:B41"/>
    <mergeCell ref="C41:E41"/>
    <mergeCell ref="A42:B42"/>
    <mergeCell ref="C42:E42"/>
    <mergeCell ref="A39:E39"/>
    <mergeCell ref="A1:E1"/>
    <mergeCell ref="A3:E3"/>
    <mergeCell ref="A28:E28"/>
    <mergeCell ref="A36:E36"/>
    <mergeCell ref="A38:E38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DE3D2-1E5E-4B73-9324-4D011E4BCCCB}">
  <sheetPr>
    <tabColor theme="2" tint="-0.249977111117893"/>
    <pageSetUpPr fitToPage="1"/>
  </sheetPr>
  <dimension ref="A1:K49"/>
  <sheetViews>
    <sheetView workbookViewId="0">
      <selection activeCell="K9" sqref="K9"/>
    </sheetView>
  </sheetViews>
  <sheetFormatPr defaultColWidth="8.85546875" defaultRowHeight="15" x14ac:dyDescent="0.25"/>
  <cols>
    <col min="1" max="1" width="8.28515625" style="189" customWidth="1"/>
    <col min="2" max="2" width="38.42578125" style="189" customWidth="1"/>
    <col min="3" max="3" width="6.28515625" style="200" customWidth="1"/>
    <col min="4" max="4" width="5.7109375" style="201" customWidth="1"/>
    <col min="5" max="5" width="12.28515625" style="189" customWidth="1"/>
    <col min="6" max="6" width="11.28515625" style="189" customWidth="1"/>
    <col min="7" max="7" width="13.140625" style="189" bestFit="1" customWidth="1"/>
    <col min="8" max="8" width="9.42578125" style="189" bestFit="1" customWidth="1"/>
    <col min="9" max="9" width="8.42578125" style="189" bestFit="1" customWidth="1"/>
    <col min="10" max="10" width="6.7109375" style="189" bestFit="1" customWidth="1"/>
    <col min="11" max="11" width="8.42578125" style="189" bestFit="1" customWidth="1"/>
    <col min="12" max="16384" width="8.85546875" style="189"/>
  </cols>
  <sheetData>
    <row r="1" spans="1:11" s="182" customFormat="1" ht="16.5" thickBot="1" x14ac:dyDescent="0.3">
      <c r="A1" s="589" t="s">
        <v>416</v>
      </c>
      <c r="B1" s="590"/>
      <c r="C1" s="590"/>
      <c r="D1" s="590"/>
      <c r="E1" s="590"/>
      <c r="F1" s="590"/>
      <c r="G1" s="590"/>
      <c r="H1" s="590"/>
      <c r="I1" s="590"/>
      <c r="J1" s="590"/>
      <c r="K1" s="591"/>
    </row>
    <row r="2" spans="1:11" ht="15.75" x14ac:dyDescent="0.2">
      <c r="A2" s="183"/>
      <c r="B2" s="184"/>
      <c r="C2" s="185"/>
      <c r="D2" s="186"/>
      <c r="E2" s="186"/>
      <c r="F2" s="187"/>
      <c r="G2" s="188"/>
    </row>
    <row r="3" spans="1:11" ht="41.25" customHeight="1" x14ac:dyDescent="0.25">
      <c r="A3" s="562" t="s">
        <v>347</v>
      </c>
      <c r="B3" s="563"/>
      <c r="C3" s="563"/>
      <c r="D3" s="563"/>
      <c r="E3" s="563"/>
      <c r="F3" s="563"/>
      <c r="G3" s="563"/>
      <c r="H3" s="563"/>
      <c r="I3" s="563"/>
      <c r="J3" s="563"/>
      <c r="K3" s="563"/>
    </row>
    <row r="4" spans="1:11" ht="15.75" thickBot="1" x14ac:dyDescent="0.25">
      <c r="A4" s="190"/>
      <c r="B4" s="190"/>
      <c r="C4" s="191"/>
      <c r="D4" s="192"/>
      <c r="E4" s="192"/>
      <c r="F4" s="193"/>
      <c r="G4" s="193"/>
    </row>
    <row r="5" spans="1:11" x14ac:dyDescent="0.25">
      <c r="A5" s="564" t="s">
        <v>348</v>
      </c>
      <c r="B5" s="565"/>
      <c r="C5" s="565"/>
      <c r="D5" s="565"/>
      <c r="E5" s="565"/>
      <c r="F5" s="565"/>
      <c r="G5" s="565"/>
      <c r="H5" s="565"/>
      <c r="I5" s="565"/>
      <c r="J5" s="565"/>
      <c r="K5" s="566"/>
    </row>
    <row r="6" spans="1:11" x14ac:dyDescent="0.2">
      <c r="A6" s="210" t="s">
        <v>349</v>
      </c>
      <c r="B6" s="211"/>
      <c r="C6" s="211"/>
      <c r="D6" s="212"/>
      <c r="E6" s="213"/>
      <c r="F6" s="214"/>
      <c r="G6" s="215"/>
      <c r="H6" s="215"/>
      <c r="I6" s="215"/>
      <c r="J6" s="216"/>
      <c r="K6" s="416">
        <v>0.67789999999999995</v>
      </c>
    </row>
    <row r="7" spans="1:11" x14ac:dyDescent="0.2">
      <c r="A7" s="210" t="s">
        <v>350</v>
      </c>
      <c r="B7" s="211"/>
      <c r="C7" s="211"/>
      <c r="D7" s="212"/>
      <c r="E7" s="213"/>
      <c r="F7" s="214"/>
      <c r="G7" s="215"/>
      <c r="H7" s="215"/>
      <c r="I7" s="215"/>
      <c r="J7" s="216"/>
      <c r="K7" s="416">
        <v>0.70609999999999995</v>
      </c>
    </row>
    <row r="8" spans="1:11" x14ac:dyDescent="0.2">
      <c r="A8" s="210" t="s">
        <v>351</v>
      </c>
      <c r="B8" s="211"/>
      <c r="C8" s="211"/>
      <c r="D8" s="212"/>
      <c r="E8" s="213"/>
      <c r="F8" s="214"/>
      <c r="G8" s="215"/>
      <c r="H8" s="215"/>
      <c r="I8" s="215"/>
      <c r="J8" s="216"/>
      <c r="K8" s="217">
        <f>K6+K7</f>
        <v>1.3839999999999999</v>
      </c>
    </row>
    <row r="9" spans="1:11" x14ac:dyDescent="0.2">
      <c r="A9" s="210" t="s">
        <v>352</v>
      </c>
      <c r="B9" s="211"/>
      <c r="C9" s="211"/>
      <c r="D9" s="212"/>
      <c r="E9" s="213"/>
      <c r="F9" s="214"/>
      <c r="G9" s="215"/>
      <c r="H9" s="215"/>
      <c r="I9" s="215"/>
      <c r="J9" s="216"/>
      <c r="K9" s="416">
        <v>0.2</v>
      </c>
    </row>
    <row r="10" spans="1:11" x14ac:dyDescent="0.2">
      <c r="A10" s="218" t="s">
        <v>353</v>
      </c>
      <c r="B10" s="219"/>
      <c r="C10" s="219"/>
      <c r="D10" s="212"/>
      <c r="E10" s="219"/>
      <c r="F10" s="214"/>
      <c r="G10" s="215"/>
      <c r="H10" s="215"/>
      <c r="I10" s="215"/>
      <c r="J10" s="216"/>
      <c r="K10" s="217">
        <f>K43</f>
        <v>7.8E-2</v>
      </c>
    </row>
    <row r="11" spans="1:11" x14ac:dyDescent="0.2">
      <c r="A11" s="218" t="s">
        <v>354</v>
      </c>
      <c r="B11" s="219"/>
      <c r="C11" s="219"/>
      <c r="D11" s="212"/>
      <c r="E11" s="219"/>
      <c r="F11" s="214"/>
      <c r="G11" s="215"/>
      <c r="H11" s="215"/>
      <c r="I11" s="215"/>
      <c r="J11" s="216"/>
      <c r="K11" s="217">
        <f>J37</f>
        <v>8.0399999999999999E-2</v>
      </c>
    </row>
    <row r="12" spans="1:11" x14ac:dyDescent="0.2">
      <c r="A12" s="218" t="s">
        <v>355</v>
      </c>
      <c r="B12" s="219"/>
      <c r="C12" s="219"/>
      <c r="D12" s="212"/>
      <c r="E12" s="219"/>
      <c r="F12" s="214"/>
      <c r="G12" s="215"/>
      <c r="H12" s="215"/>
      <c r="I12" s="215"/>
      <c r="J12" s="216"/>
      <c r="K12" s="217">
        <f>J13/(1-J13)</f>
        <v>9.4690749863163656E-2</v>
      </c>
    </row>
    <row r="13" spans="1:11" x14ac:dyDescent="0.2">
      <c r="A13" s="220" t="s">
        <v>238</v>
      </c>
      <c r="B13" s="221"/>
      <c r="C13" s="221"/>
      <c r="D13" s="212"/>
      <c r="E13" s="215"/>
      <c r="F13" s="214"/>
      <c r="G13" s="222"/>
      <c r="H13" s="215"/>
      <c r="I13" s="216"/>
      <c r="J13" s="223">
        <f>J14+J15+J16</f>
        <v>8.6499999999999994E-2</v>
      </c>
      <c r="K13" s="224"/>
    </row>
    <row r="14" spans="1:11" x14ac:dyDescent="0.2">
      <c r="A14" s="210" t="s">
        <v>239</v>
      </c>
      <c r="B14" s="211"/>
      <c r="C14" s="219"/>
      <c r="D14" s="212"/>
      <c r="E14" s="215"/>
      <c r="F14" s="214"/>
      <c r="G14" s="225"/>
      <c r="H14" s="215"/>
      <c r="I14" s="216"/>
      <c r="J14" s="415">
        <v>6.4999999999999997E-3</v>
      </c>
      <c r="K14" s="226"/>
    </row>
    <row r="15" spans="1:11" x14ac:dyDescent="0.2">
      <c r="A15" s="210" t="s">
        <v>240</v>
      </c>
      <c r="B15" s="211"/>
      <c r="C15" s="219"/>
      <c r="D15" s="212"/>
      <c r="E15" s="215"/>
      <c r="F15" s="214"/>
      <c r="G15" s="225"/>
      <c r="H15" s="215"/>
      <c r="I15" s="216"/>
      <c r="J15" s="415">
        <v>0.03</v>
      </c>
      <c r="K15" s="226"/>
    </row>
    <row r="16" spans="1:11" x14ac:dyDescent="0.2">
      <c r="A16" s="210" t="s">
        <v>241</v>
      </c>
      <c r="B16" s="211"/>
      <c r="C16" s="219"/>
      <c r="D16" s="212"/>
      <c r="E16" s="215"/>
      <c r="F16" s="214"/>
      <c r="G16" s="225"/>
      <c r="H16" s="215"/>
      <c r="I16" s="216"/>
      <c r="J16" s="415">
        <v>0.05</v>
      </c>
      <c r="K16" s="227"/>
    </row>
    <row r="17" spans="1:11" x14ac:dyDescent="0.2">
      <c r="A17" s="202"/>
      <c r="B17" s="203"/>
      <c r="C17" s="204"/>
      <c r="D17" s="205"/>
      <c r="E17" s="206"/>
      <c r="F17" s="207"/>
      <c r="G17" s="208"/>
      <c r="K17" s="209"/>
    </row>
    <row r="18" spans="1:11" x14ac:dyDescent="0.25">
      <c r="A18" s="228" t="s">
        <v>356</v>
      </c>
      <c r="B18" s="229" t="s">
        <v>357</v>
      </c>
      <c r="C18" s="561" t="s">
        <v>358</v>
      </c>
      <c r="D18" s="561"/>
      <c r="E18" s="561"/>
      <c r="F18" s="561"/>
      <c r="G18" s="561"/>
      <c r="H18" s="561"/>
      <c r="I18" s="561"/>
      <c r="J18" s="561"/>
      <c r="K18" s="230">
        <f>(1+K8+K10)*(1+K11)*(1+K12)</f>
        <v>2.9118169677066228</v>
      </c>
    </row>
    <row r="19" spans="1:11" x14ac:dyDescent="0.25">
      <c r="A19" s="228" t="s">
        <v>359</v>
      </c>
      <c r="B19" s="229" t="s">
        <v>360</v>
      </c>
      <c r="C19" s="561" t="s">
        <v>361</v>
      </c>
      <c r="D19" s="561"/>
      <c r="E19" s="561"/>
      <c r="F19" s="561"/>
      <c r="G19" s="561"/>
      <c r="H19" s="561"/>
      <c r="I19" s="561"/>
      <c r="J19" s="561"/>
      <c r="K19" s="230">
        <f>ROUND(((1+K9+K10)*(1+K11)*(1+K12)),2)</f>
        <v>1.51</v>
      </c>
    </row>
    <row r="20" spans="1:11" x14ac:dyDescent="0.25">
      <c r="A20" s="228" t="s">
        <v>362</v>
      </c>
      <c r="B20" s="229" t="s">
        <v>363</v>
      </c>
      <c r="C20" s="561" t="s">
        <v>364</v>
      </c>
      <c r="D20" s="561"/>
      <c r="E20" s="561"/>
      <c r="F20" s="561"/>
      <c r="G20" s="561"/>
      <c r="H20" s="561"/>
      <c r="I20" s="561"/>
      <c r="J20" s="561"/>
      <c r="K20" s="230">
        <f>ROUND(((1+K10)*(1+K11)*(1+K12)),2)</f>
        <v>1.27</v>
      </c>
    </row>
    <row r="21" spans="1:11" ht="15.75" thickBot="1" x14ac:dyDescent="0.3">
      <c r="A21" s="231" t="s">
        <v>365</v>
      </c>
      <c r="B21" s="232" t="s">
        <v>366</v>
      </c>
      <c r="C21" s="567" t="s">
        <v>367</v>
      </c>
      <c r="D21" s="567"/>
      <c r="E21" s="567"/>
      <c r="F21" s="567"/>
      <c r="G21" s="567"/>
      <c r="H21" s="567"/>
      <c r="I21" s="567"/>
      <c r="J21" s="567"/>
      <c r="K21" s="233">
        <f>ROUND(((1+K11)*(1+K12)),2)</f>
        <v>1.18</v>
      </c>
    </row>
    <row r="22" spans="1:11" x14ac:dyDescent="0.25">
      <c r="A22" s="568" t="s">
        <v>368</v>
      </c>
      <c r="B22" s="568"/>
      <c r="C22" s="568"/>
      <c r="D22" s="568"/>
      <c r="E22" s="568"/>
      <c r="F22" s="568"/>
      <c r="G22" s="568"/>
      <c r="H22" s="568"/>
      <c r="I22" s="568"/>
      <c r="J22" s="568"/>
      <c r="K22" s="568"/>
    </row>
    <row r="23" spans="1:11" ht="108" customHeight="1" thickBot="1" x14ac:dyDescent="0.3">
      <c r="A23" s="194"/>
      <c r="B23" s="190"/>
      <c r="C23" s="195"/>
      <c r="D23" s="196"/>
      <c r="E23" s="197"/>
      <c r="F23" s="198"/>
      <c r="G23" s="199"/>
    </row>
    <row r="24" spans="1:11" x14ac:dyDescent="0.25">
      <c r="A24" s="569" t="s">
        <v>369</v>
      </c>
      <c r="B24" s="570"/>
      <c r="C24" s="570"/>
      <c r="D24" s="570"/>
      <c r="E24" s="570"/>
      <c r="F24" s="570"/>
      <c r="G24" s="570"/>
      <c r="H24" s="570"/>
      <c r="I24" s="570"/>
      <c r="J24" s="570"/>
      <c r="K24" s="571"/>
    </row>
    <row r="25" spans="1:11" x14ac:dyDescent="0.25">
      <c r="A25" s="572"/>
      <c r="B25" s="573"/>
      <c r="C25" s="573"/>
      <c r="D25" s="573"/>
      <c r="E25" s="573"/>
      <c r="F25" s="573"/>
      <c r="G25" s="573"/>
      <c r="K25" s="209"/>
    </row>
    <row r="26" spans="1:11" x14ac:dyDescent="0.25">
      <c r="A26" s="574" t="s">
        <v>370</v>
      </c>
      <c r="B26" s="575"/>
      <c r="C26" s="575"/>
      <c r="D26" s="575"/>
      <c r="E26" s="575"/>
      <c r="F26" s="575"/>
      <c r="G26" s="575"/>
      <c r="H26" s="575"/>
      <c r="I26" s="575"/>
      <c r="J26" s="576" t="s">
        <v>371</v>
      </c>
      <c r="K26" s="577"/>
    </row>
    <row r="27" spans="1:11" x14ac:dyDescent="0.25">
      <c r="A27" s="578" t="s">
        <v>372</v>
      </c>
      <c r="B27" s="579"/>
      <c r="C27" s="579"/>
      <c r="D27" s="579"/>
      <c r="E27" s="579"/>
      <c r="F27" s="579"/>
      <c r="G27" s="579"/>
      <c r="H27" s="579"/>
      <c r="I27" s="579"/>
      <c r="J27" s="583" t="s">
        <v>373</v>
      </c>
      <c r="K27" s="584"/>
    </row>
    <row r="28" spans="1:11" x14ac:dyDescent="0.25">
      <c r="A28" s="578" t="s">
        <v>374</v>
      </c>
      <c r="B28" s="579"/>
      <c r="C28" s="579"/>
      <c r="D28" s="579"/>
      <c r="E28" s="579"/>
      <c r="F28" s="579"/>
      <c r="G28" s="579"/>
      <c r="H28" s="579"/>
      <c r="I28" s="579"/>
      <c r="J28" s="585">
        <v>1</v>
      </c>
      <c r="K28" s="586"/>
    </row>
    <row r="29" spans="1:11" x14ac:dyDescent="0.25">
      <c r="A29" s="587" t="s">
        <v>375</v>
      </c>
      <c r="B29" s="588"/>
      <c r="C29" s="588"/>
      <c r="D29" s="588"/>
      <c r="E29" s="588"/>
      <c r="F29" s="588"/>
      <c r="G29" s="588"/>
      <c r="H29" s="588"/>
      <c r="I29" s="588"/>
      <c r="J29" s="585">
        <v>0.05</v>
      </c>
      <c r="K29" s="586"/>
    </row>
    <row r="30" spans="1:11" x14ac:dyDescent="0.25">
      <c r="A30" s="249"/>
      <c r="B30" s="234"/>
      <c r="C30" s="234"/>
      <c r="D30" s="234"/>
      <c r="E30" s="234"/>
      <c r="F30" s="234"/>
      <c r="G30" s="234"/>
      <c r="H30" s="234"/>
      <c r="I30" s="234"/>
      <c r="J30" s="234"/>
      <c r="K30" s="250"/>
    </row>
    <row r="31" spans="1:11" x14ac:dyDescent="0.25">
      <c r="A31" s="604" t="s">
        <v>376</v>
      </c>
      <c r="B31" s="581"/>
      <c r="C31" s="581"/>
      <c r="D31" s="581"/>
      <c r="E31" s="581" t="s">
        <v>377</v>
      </c>
      <c r="F31" s="580" t="s">
        <v>378</v>
      </c>
      <c r="G31" s="580" t="s">
        <v>379</v>
      </c>
      <c r="H31" s="580" t="s">
        <v>380</v>
      </c>
      <c r="I31" s="581" t="s">
        <v>381</v>
      </c>
      <c r="J31" s="581"/>
      <c r="K31" s="582"/>
    </row>
    <row r="32" spans="1:11" x14ac:dyDescent="0.25">
      <c r="A32" s="604"/>
      <c r="B32" s="581"/>
      <c r="C32" s="581"/>
      <c r="D32" s="581"/>
      <c r="E32" s="581"/>
      <c r="F32" s="580"/>
      <c r="G32" s="580"/>
      <c r="H32" s="580"/>
      <c r="I32" s="244" t="s">
        <v>382</v>
      </c>
      <c r="J32" s="244" t="s">
        <v>383</v>
      </c>
      <c r="K32" s="251" t="s">
        <v>384</v>
      </c>
    </row>
    <row r="33" spans="1:11" x14ac:dyDescent="0.25">
      <c r="A33" s="578" t="s">
        <v>385</v>
      </c>
      <c r="B33" s="579"/>
      <c r="C33" s="579"/>
      <c r="D33" s="579"/>
      <c r="E33" s="235" t="s">
        <v>386</v>
      </c>
      <c r="F33" s="243">
        <v>4.2500000000000003E-2</v>
      </c>
      <c r="G33" s="243">
        <v>4.2500000000000003E-2</v>
      </c>
      <c r="H33" s="236" t="s">
        <v>48</v>
      </c>
      <c r="I33" s="237">
        <v>3.4299999999999997E-2</v>
      </c>
      <c r="J33" s="237">
        <v>4.9299999999999997E-2</v>
      </c>
      <c r="K33" s="238">
        <v>6.7100000000000007E-2</v>
      </c>
    </row>
    <row r="34" spans="1:11" x14ac:dyDescent="0.25">
      <c r="A34" s="578" t="s">
        <v>387</v>
      </c>
      <c r="B34" s="579"/>
      <c r="C34" s="579"/>
      <c r="D34" s="579"/>
      <c r="E34" s="235" t="s">
        <v>388</v>
      </c>
      <c r="F34" s="243">
        <v>7.4999999999999997E-3</v>
      </c>
      <c r="G34" s="243">
        <v>4.8999999999999998E-3</v>
      </c>
      <c r="H34" s="236" t="s">
        <v>48</v>
      </c>
      <c r="I34" s="237">
        <v>2.8E-3</v>
      </c>
      <c r="J34" s="237">
        <v>4.8999999999999998E-3</v>
      </c>
      <c r="K34" s="238">
        <v>7.4999999999999997E-3</v>
      </c>
    </row>
    <row r="35" spans="1:11" x14ac:dyDescent="0.25">
      <c r="A35" s="578" t="s">
        <v>389</v>
      </c>
      <c r="B35" s="579"/>
      <c r="C35" s="579"/>
      <c r="D35" s="579"/>
      <c r="E35" s="235" t="s">
        <v>390</v>
      </c>
      <c r="F35" s="243">
        <v>1.7399999999999999E-2</v>
      </c>
      <c r="G35" s="243">
        <v>1.3899999999999999E-2</v>
      </c>
      <c r="H35" s="236" t="s">
        <v>48</v>
      </c>
      <c r="I35" s="237">
        <v>0.01</v>
      </c>
      <c r="J35" s="237">
        <v>1.3899999999999999E-2</v>
      </c>
      <c r="K35" s="238">
        <v>1.7399999999999999E-2</v>
      </c>
    </row>
    <row r="36" spans="1:11" x14ac:dyDescent="0.25">
      <c r="A36" s="578" t="s">
        <v>391</v>
      </c>
      <c r="B36" s="579"/>
      <c r="C36" s="579"/>
      <c r="D36" s="579"/>
      <c r="E36" s="235" t="s">
        <v>392</v>
      </c>
      <c r="F36" s="243">
        <v>1.17E-2</v>
      </c>
      <c r="G36" s="243">
        <v>9.9000000000000008E-3</v>
      </c>
      <c r="H36" s="236" t="s">
        <v>48</v>
      </c>
      <c r="I36" s="237">
        <v>9.4000000000000004E-3</v>
      </c>
      <c r="J36" s="237">
        <v>9.9000000000000008E-3</v>
      </c>
      <c r="K36" s="238">
        <v>1.17E-2</v>
      </c>
    </row>
    <row r="37" spans="1:11" x14ac:dyDescent="0.25">
      <c r="A37" s="578" t="s">
        <v>393</v>
      </c>
      <c r="B37" s="579"/>
      <c r="C37" s="579"/>
      <c r="D37" s="579"/>
      <c r="E37" s="235" t="s">
        <v>394</v>
      </c>
      <c r="F37" s="243">
        <v>6.9599999999999995E-2</v>
      </c>
      <c r="G37" s="243">
        <v>7.6999999999999999E-2</v>
      </c>
      <c r="H37" s="236" t="s">
        <v>48</v>
      </c>
      <c r="I37" s="237">
        <v>6.7400000000000002E-2</v>
      </c>
      <c r="J37" s="237">
        <v>8.0399999999999999E-2</v>
      </c>
      <c r="K37" s="238">
        <v>9.4E-2</v>
      </c>
    </row>
    <row r="38" spans="1:11" x14ac:dyDescent="0.25">
      <c r="A38" s="587" t="s">
        <v>395</v>
      </c>
      <c r="B38" s="588"/>
      <c r="C38" s="588"/>
      <c r="D38" s="588"/>
      <c r="E38" s="235" t="s">
        <v>396</v>
      </c>
      <c r="F38" s="243">
        <v>3.6499999999999998E-2</v>
      </c>
      <c r="G38" s="243">
        <v>3.6499999999999998E-2</v>
      </c>
      <c r="H38" s="236" t="s">
        <v>48</v>
      </c>
      <c r="I38" s="237">
        <v>3.6499999999999998E-2</v>
      </c>
      <c r="J38" s="237">
        <v>3.6499999999999998E-2</v>
      </c>
      <c r="K38" s="238">
        <v>3.6499999999999998E-2</v>
      </c>
    </row>
    <row r="39" spans="1:11" x14ac:dyDescent="0.25">
      <c r="A39" s="578" t="s">
        <v>397</v>
      </c>
      <c r="B39" s="579"/>
      <c r="C39" s="579"/>
      <c r="D39" s="579"/>
      <c r="E39" s="235" t="s">
        <v>241</v>
      </c>
      <c r="F39" s="237">
        <f>J29</f>
        <v>0.05</v>
      </c>
      <c r="G39" s="237">
        <f>J29*J28</f>
        <v>0.05</v>
      </c>
      <c r="H39" s="236" t="s">
        <v>48</v>
      </c>
      <c r="I39" s="237">
        <v>0</v>
      </c>
      <c r="J39" s="237">
        <v>2.5000000000000001E-2</v>
      </c>
      <c r="K39" s="238">
        <v>0.05</v>
      </c>
    </row>
    <row r="40" spans="1:11" ht="26.25" customHeight="1" x14ac:dyDescent="0.25">
      <c r="A40" s="578" t="s">
        <v>398</v>
      </c>
      <c r="B40" s="579"/>
      <c r="C40" s="579"/>
      <c r="D40" s="579"/>
      <c r="E40" s="235" t="s">
        <v>399</v>
      </c>
      <c r="F40" s="237">
        <v>4.4999999999999998E-2</v>
      </c>
      <c r="G40" s="237">
        <v>4.4999999999999998E-2</v>
      </c>
      <c r="H40" s="300" t="str">
        <f>IF(AND(G40&gt;=I40, G40&lt;=K40), "OK", "Não OK")</f>
        <v>OK</v>
      </c>
      <c r="I40" s="239">
        <v>0</v>
      </c>
      <c r="J40" s="239">
        <v>4.4999999999999998E-2</v>
      </c>
      <c r="K40" s="240">
        <v>4.4999999999999998E-2</v>
      </c>
    </row>
    <row r="41" spans="1:11" x14ac:dyDescent="0.25">
      <c r="A41" s="593" t="s">
        <v>400</v>
      </c>
      <c r="B41" s="594"/>
      <c r="C41" s="594"/>
      <c r="D41" s="594"/>
      <c r="E41" s="244" t="s">
        <v>401</v>
      </c>
      <c r="F41" s="245">
        <f>ROUND((((1+F33+F34+F35)*(1+F36)*(1+F37)/(1-(F38+F39)))-1),4)</f>
        <v>0.26440000000000002</v>
      </c>
      <c r="G41" s="245">
        <f>ROUND((((1+G33+G34+G35)*(1+G36)*(1+G37)/(1-(G38+G39)))-1),4)</f>
        <v>0.2636</v>
      </c>
      <c r="H41" s="301" t="str">
        <f>IF(OR(AND(G41&gt;=I41, G41&lt;=K41)), "OK", "NÃO OK")</f>
        <v>OK</v>
      </c>
      <c r="I41" s="246">
        <v>0.20760000000000001</v>
      </c>
      <c r="J41" s="246">
        <v>0.24179999999999999</v>
      </c>
      <c r="K41" s="252">
        <v>0.26440000000000002</v>
      </c>
    </row>
    <row r="42" spans="1:11" x14ac:dyDescent="0.2">
      <c r="A42" s="593" t="s">
        <v>402</v>
      </c>
      <c r="B42" s="594"/>
      <c r="C42" s="594"/>
      <c r="D42" s="594"/>
      <c r="E42" s="247" t="s">
        <v>403</v>
      </c>
      <c r="F42" s="245">
        <f>ROUND((((1+F33+F34+F35)*(1+F36)*(1+F37)/(1-(F38+F39+F40)))-1),4)</f>
        <v>0.32990000000000003</v>
      </c>
      <c r="G42" s="245">
        <f>ROUND((((1+G33+G34+G35)*(1+G36)*(1+G37)/(1-(G38+G39+G40)))-1),4)</f>
        <v>0.3291</v>
      </c>
      <c r="H42" s="301" t="str">
        <f>H41</f>
        <v>OK</v>
      </c>
      <c r="I42" s="248"/>
      <c r="J42" s="248"/>
      <c r="K42" s="253"/>
    </row>
    <row r="43" spans="1:11" x14ac:dyDescent="0.2">
      <c r="A43" s="254"/>
      <c r="B43" s="255"/>
      <c r="C43" s="255"/>
      <c r="D43" s="255"/>
      <c r="E43" s="255"/>
      <c r="F43" s="255"/>
      <c r="G43" s="255"/>
      <c r="H43" s="255"/>
      <c r="I43" s="255"/>
      <c r="J43" s="241" t="s">
        <v>404</v>
      </c>
      <c r="K43" s="242">
        <f>SUM(J33:J36)</f>
        <v>7.8E-2</v>
      </c>
    </row>
    <row r="44" spans="1:11" x14ac:dyDescent="0.2">
      <c r="A44" s="256"/>
      <c r="B44" s="257"/>
      <c r="C44" s="257"/>
      <c r="D44" s="257"/>
      <c r="E44" s="257"/>
      <c r="F44" s="257"/>
      <c r="G44" s="257"/>
      <c r="H44" s="257"/>
      <c r="I44" s="257"/>
      <c r="J44" s="258"/>
      <c r="K44" s="259"/>
    </row>
    <row r="45" spans="1:11" ht="26.25" customHeight="1" x14ac:dyDescent="0.25">
      <c r="A45" s="595" t="s">
        <v>405</v>
      </c>
      <c r="B45" s="596"/>
      <c r="C45" s="596"/>
      <c r="D45" s="596"/>
      <c r="E45" s="596"/>
      <c r="F45" s="596"/>
      <c r="G45" s="596"/>
      <c r="H45" s="596"/>
      <c r="I45" s="596"/>
      <c r="J45" s="596"/>
      <c r="K45" s="597"/>
    </row>
    <row r="46" spans="1:11" x14ac:dyDescent="0.25">
      <c r="A46" s="260"/>
      <c r="B46" s="261"/>
      <c r="C46" s="261"/>
      <c r="D46" s="598"/>
      <c r="E46" s="600" t="str">
        <f>IF(J27="Sim","BDI.DES =","BDI.PAD =")</f>
        <v>BDI.PAD =</v>
      </c>
      <c r="F46" s="600" t="s">
        <v>406</v>
      </c>
      <c r="G46" s="600"/>
      <c r="H46" s="602">
        <v>-1</v>
      </c>
      <c r="I46" s="602"/>
      <c r="J46" s="261"/>
      <c r="K46" s="262"/>
    </row>
    <row r="47" spans="1:11" ht="15.75" thickBot="1" x14ac:dyDescent="0.3">
      <c r="A47" s="263"/>
      <c r="B47" s="264"/>
      <c r="C47" s="264"/>
      <c r="D47" s="599"/>
      <c r="E47" s="601"/>
      <c r="F47" s="592" t="s">
        <v>407</v>
      </c>
      <c r="G47" s="592"/>
      <c r="H47" s="603"/>
      <c r="I47" s="603"/>
      <c r="J47" s="264"/>
      <c r="K47" s="265"/>
    </row>
    <row r="49" ht="15" customHeight="1" x14ac:dyDescent="0.25"/>
  </sheetData>
  <mergeCells count="41">
    <mergeCell ref="A1:K1"/>
    <mergeCell ref="F47:G47"/>
    <mergeCell ref="A39:D39"/>
    <mergeCell ref="A40:D40"/>
    <mergeCell ref="A41:D41"/>
    <mergeCell ref="A42:D42"/>
    <mergeCell ref="A45:K45"/>
    <mergeCell ref="D46:D47"/>
    <mergeCell ref="E46:E47"/>
    <mergeCell ref="F46:G46"/>
    <mergeCell ref="H46:H47"/>
    <mergeCell ref="I46:I47"/>
    <mergeCell ref="A38:D38"/>
    <mergeCell ref="A31:D32"/>
    <mergeCell ref="E31:E32"/>
    <mergeCell ref="F31:F32"/>
    <mergeCell ref="A37:D37"/>
    <mergeCell ref="H31:H32"/>
    <mergeCell ref="I31:K31"/>
    <mergeCell ref="A27:I27"/>
    <mergeCell ref="J27:K27"/>
    <mergeCell ref="A28:I28"/>
    <mergeCell ref="J28:K28"/>
    <mergeCell ref="A29:I29"/>
    <mergeCell ref="J29:K29"/>
    <mergeCell ref="G31:G32"/>
    <mergeCell ref="A33:D33"/>
    <mergeCell ref="A34:D34"/>
    <mergeCell ref="A35:D35"/>
    <mergeCell ref="A36:D36"/>
    <mergeCell ref="C21:J21"/>
    <mergeCell ref="A22:K22"/>
    <mergeCell ref="A24:K24"/>
    <mergeCell ref="A25:G25"/>
    <mergeCell ref="A26:I26"/>
    <mergeCell ref="J26:K26"/>
    <mergeCell ref="C20:J20"/>
    <mergeCell ref="A3:K3"/>
    <mergeCell ref="A5:K5"/>
    <mergeCell ref="C18:J18"/>
    <mergeCell ref="C19:J19"/>
  </mergeCells>
  <conditionalFormatting sqref="A41:D41">
    <cfRule type="expression" dxfId="7" priority="3" stopIfTrue="1">
      <formula>#REF!="Não"</formula>
    </cfRule>
  </conditionalFormatting>
  <conditionalFormatting sqref="A42:E42">
    <cfRule type="expression" dxfId="6" priority="5" stopIfTrue="1">
      <formula>#REF!="Não"</formula>
    </cfRule>
  </conditionalFormatting>
  <conditionalFormatting sqref="A28:I28">
    <cfRule type="expression" dxfId="5" priority="6" stopIfTrue="1">
      <formula>#REF!=#REF!</formula>
    </cfRule>
  </conditionalFormatting>
  <conditionalFormatting sqref="F41:G41">
    <cfRule type="expression" dxfId="4" priority="7" stopIfTrue="1">
      <formula>#REF!="Não"</formula>
    </cfRule>
  </conditionalFormatting>
  <conditionalFormatting sqref="F42:G42">
    <cfRule type="expression" dxfId="3" priority="8" stopIfTrue="1">
      <formula>#REF!="sim"</formula>
    </cfRule>
  </conditionalFormatting>
  <conditionalFormatting sqref="H33:H42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8:K29 A29:I29">
    <cfRule type="expression" dxfId="0" priority="4" stopIfTrue="1">
      <formula>#REF!=#REF!</formula>
    </cfRule>
  </conditionalFormatting>
  <dataValidations count="5">
    <dataValidation operator="greaterThanOrEqual" allowBlank="1" showInputMessage="1" showErrorMessage="1" errorTitle="Erro de valores" error="Digite um valor igual a 0% ou 2%." sqref="F40:G40" xr:uid="{FC851D1A-818B-48F5-9CE7-E22D6CF66D16}"/>
    <dataValidation type="decimal" allowBlank="1" showInputMessage="1" showErrorMessage="1" errorTitle="Erro de valores" error="Digite um valor maior do que 0." sqref="F39:G39" xr:uid="{CBB4F5BD-1781-47B8-BBA2-3F014252FE27}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8:K28" xr:uid="{B2D9213B-998A-4B34-B2AF-3B8F7D4B83C0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29:K29" xr:uid="{34462400-F8F9-475E-9532-D3598E6684BA}">
      <formula1>0</formula1>
    </dataValidation>
    <dataValidation type="decimal" allowBlank="1" showInputMessage="1" showErrorMessage="1" errorTitle="Erro de valores" error="Digite um valor entre 0% e 100%" sqref="F33:G38" xr:uid="{4A8C50F2-D5EB-46BE-AB1A-AACF6AE5D30B}">
      <formula1>0</formula1>
      <formula2>1</formula2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57" orientation="landscape" horizontalDpi="300" verticalDpi="300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PS20_x002d_04 xmlns="f713f894-8e5f-49bb-aba3-bc5acb6c15a1" xsi:nil="true"/>
    <_x0020__x0020__x0020__x0020_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7E8F4B-B096-4948-B87A-165B495588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5352DBB-54CD-4BCA-8464-A3FA8AE1D6AE}">
  <ds:schemaRefs>
    <ds:schemaRef ds:uri="http://purl.org/dc/terms/"/>
    <ds:schemaRef ds:uri="f713f894-8e5f-49bb-aba3-bc5acb6c15a1"/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654f1fe-3808-4788-a1c9-5f0b422ba0d6"/>
  </ds:schemaRefs>
</ds:datastoreItem>
</file>

<file path=customXml/itemProps3.xml><?xml version="1.0" encoding="utf-8"?>
<ds:datastoreItem xmlns:ds="http://schemas.openxmlformats.org/officeDocument/2006/customXml" ds:itemID="{BC9D4EBB-6ABC-4C8E-9A6B-AB905041D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3</vt:i4>
      </vt:variant>
    </vt:vector>
  </HeadingPairs>
  <TitlesOfParts>
    <vt:vector size="12" baseType="lpstr">
      <vt:lpstr>CAPA</vt:lpstr>
      <vt:lpstr>COMPOSIÇÃO DE CUSTOS - LOTE 3_</vt:lpstr>
      <vt:lpstr>CRON LOTE 3_</vt:lpstr>
      <vt:lpstr>COMPOSIÇÃO DE CUSTOS </vt:lpstr>
      <vt:lpstr>CRONOGRAMA</vt:lpstr>
      <vt:lpstr>EQUIPE PERMANENTE</vt:lpstr>
      <vt:lpstr>ENCARGOS SOCIAIS</vt:lpstr>
      <vt:lpstr>DESPESAS DIVERSAS I (2)</vt:lpstr>
      <vt:lpstr>FATOR K</vt:lpstr>
      <vt:lpstr>CAPA!Area_de_impressao</vt:lpstr>
      <vt:lpstr>'CRON LOTE 3_'!Area_de_impressao</vt:lpstr>
      <vt:lpstr>CRONOGRAMA!Area_de_impressao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Gisely Conceição Souza</cp:lastModifiedBy>
  <cp:revision/>
  <cp:lastPrinted>2025-11-14T18:18:45Z</cp:lastPrinted>
  <dcterms:created xsi:type="dcterms:W3CDTF">2024-03-04T18:58:08Z</dcterms:created>
  <dcterms:modified xsi:type="dcterms:W3CDTF">2025-11-14T19:53:20Z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